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lecturer-reader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<sst xmlns="http://schemas.openxmlformats.org/spreadsheetml/2006/main" count="59" uniqueCount="48">
  <si>
    <t>FIXED</t>
  </si>
  <si>
    <t>GRADE</t>
  </si>
  <si>
    <t>TOTAL</t>
  </si>
  <si>
    <t>DA</t>
  </si>
  <si>
    <t>Total</t>
  </si>
  <si>
    <t>TA</t>
  </si>
  <si>
    <t>HRA</t>
  </si>
  <si>
    <t>GROSS</t>
  </si>
  <si>
    <t xml:space="preserve"> First Installment</t>
  </si>
  <si>
    <t>Enter old HRA Rate (%)</t>
  </si>
  <si>
    <t>Enter Month of Old increment (1 to 12)</t>
  </si>
  <si>
    <t>Jan-2008</t>
  </si>
  <si>
    <t xml:space="preserve">Enter New Grade Pay </t>
  </si>
  <si>
    <t>Jan-2007</t>
  </si>
  <si>
    <t xml:space="preserve">DA rate </t>
  </si>
  <si>
    <t>%</t>
  </si>
  <si>
    <t>Second Installment</t>
  </si>
  <si>
    <t>Arrears</t>
  </si>
  <si>
    <t>Enter New TA amount (3200/1600)</t>
  </si>
  <si>
    <t>Enter old Increment amount</t>
  </si>
  <si>
    <t>July-2008</t>
  </si>
  <si>
    <t>Enter New HRA rate of your city (%)</t>
  </si>
  <si>
    <t>Jul-2007</t>
  </si>
  <si>
    <t>Enter Old Basic Pay as on 1-1-06</t>
  </si>
  <si>
    <t>Jul-2006</t>
  </si>
  <si>
    <t>Basic</t>
  </si>
  <si>
    <t>PAY DRAWN</t>
  </si>
  <si>
    <t>tot-arrear</t>
  </si>
  <si>
    <t>Number of increments entitled for</t>
  </si>
  <si>
    <t>BASIC</t>
  </si>
  <si>
    <t>DP</t>
  </si>
  <si>
    <t>TA+CCA</t>
  </si>
  <si>
    <t>arrears</t>
  </si>
  <si>
    <t>n</t>
  </si>
  <si>
    <t>New salary for months starting from September 08 to January 09</t>
  </si>
  <si>
    <t>Allowance</t>
  </si>
  <si>
    <t>Are you staying in quarters (y/n)</t>
  </si>
  <si>
    <t>Salary for the Principal (y/n)</t>
  </si>
  <si>
    <t>Allowances 1 if any</t>
  </si>
  <si>
    <t>Allowance 2 if any</t>
  </si>
  <si>
    <t>GRAND ARREAR</t>
  </si>
  <si>
    <t>GRAND FIRST INSTT</t>
  </si>
  <si>
    <t>OLD Salary already paid for the following months</t>
  </si>
  <si>
    <r>
      <t xml:space="preserve">New pay Calculator-for College Teachers - prepared by </t>
    </r>
    <r>
      <rPr>
        <b/>
        <sz val="8"/>
        <color indexed="10"/>
        <rFont val="Arial"/>
        <family val="2"/>
      </rPr>
      <t>RAKESH KUMAR PANDEY Ph 9811170889
PUT VALUES IN THE YELLOW BOXES ACCORDING TO YOUR CASE</t>
    </r>
  </si>
  <si>
    <t>Eligible for Pay Band-4 on 1.1.06 (y/n)</t>
  </si>
  <si>
    <t>Stagnation increment due on next due date (y/n)</t>
  </si>
  <si>
    <t>y</t>
  </si>
  <si>
    <t>For teachers who joined before 1.1.06 and are not eligible for a grade pay revision between Jan 06 to Dec 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</si>
</sst>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;[Red]0.0"/>
    <numFmt numFmtId="166" formatCode="&quot;Yes&quot;;&quot;Yes&quot;;&quot;No&quot;"/>
    <numFmt numFmtId="167" formatCode="mmm\-yyyy"/>
  </numFmts>
  <fonts count="16">
    <font>
      <sz val="10"/>
      <color indexed="8"/>
      <name val="Arial"/>
      <family val="0"/>
    </font>
    <font>
      <b/>
      <sz val="10"/>
      <color indexed="8"/>
      <name val="Verdana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sz val="8"/>
      <color indexed="9"/>
      <name val="Times New Roman"/>
      <family val="0"/>
    </font>
    <font>
      <b/>
      <sz val="9"/>
      <color indexed="8"/>
      <name val="Arial"/>
      <family val="0"/>
    </font>
    <font>
      <sz val="8"/>
      <color indexed="9"/>
      <name val="Verdana"/>
      <family val="0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color indexed="1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17" fontId="5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4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" fontId="5" fillId="0" borderId="3" xfId="0" applyNumberFormat="1" applyFont="1" applyFill="1" applyBorder="1" applyAlignment="1" applyProtection="1">
      <alignment horizontal="left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5" borderId="2" xfId="0" applyNumberFormat="1" applyFont="1" applyFill="1" applyBorder="1" applyAlignment="1" applyProtection="1">
      <alignment/>
      <protection/>
    </xf>
    <xf numFmtId="0" fontId="5" fillId="5" borderId="2" xfId="0" applyNumberFormat="1" applyFont="1" applyFill="1" applyBorder="1" applyAlignment="1" applyProtection="1">
      <alignment horizontal="center"/>
      <protection/>
    </xf>
    <xf numFmtId="0" fontId="4" fillId="5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5" fillId="6" borderId="4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4" fillId="5" borderId="5" xfId="0" applyNumberFormat="1" applyFont="1" applyFill="1" applyBorder="1" applyAlignment="1" applyProtection="1">
      <alignment horizontal="center"/>
      <protection/>
    </xf>
    <xf numFmtId="0" fontId="4" fillId="5" borderId="2" xfId="0" applyNumberFormat="1" applyFont="1" applyFill="1" applyBorder="1" applyAlignment="1" applyProtection="1">
      <alignment horizontal="center"/>
      <protection/>
    </xf>
    <xf numFmtId="0" fontId="4" fillId="5" borderId="2" xfId="0" applyNumberFormat="1" applyFont="1" applyFill="1" applyBorder="1" applyAlignment="1" applyProtection="1">
      <alignment/>
      <protection/>
    </xf>
    <xf numFmtId="17" fontId="4" fillId="0" borderId="2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 horizontal="right"/>
      <protection/>
    </xf>
    <xf numFmtId="0" fontId="5" fillId="7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8" fillId="4" borderId="2" xfId="0" applyNumberFormat="1" applyFont="1" applyFill="1" applyBorder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/>
      <protection/>
    </xf>
    <xf numFmtId="0" fontId="4" fillId="5" borderId="6" xfId="0" applyNumberFormat="1" applyFont="1" applyFill="1" applyBorder="1" applyAlignment="1" applyProtection="1">
      <alignment horizontal="center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5" borderId="8" xfId="0" applyNumberFormat="1" applyFont="1" applyFill="1" applyBorder="1" applyAlignment="1" applyProtection="1">
      <alignment horizontal="center"/>
      <protection/>
    </xf>
    <xf numFmtId="1" fontId="2" fillId="0" borderId="9" xfId="0" applyNumberFormat="1" applyFont="1" applyFill="1" applyBorder="1" applyAlignment="1" applyProtection="1">
      <alignment horizontal="center"/>
      <protection/>
    </xf>
    <xf numFmtId="0" fontId="5" fillId="5" borderId="6" xfId="0" applyNumberFormat="1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166" fontId="11" fillId="2" borderId="12" xfId="0" applyNumberFormat="1" applyFont="1" applyFill="1" applyBorder="1" applyAlignment="1" applyProtection="1">
      <alignment horizontal="center"/>
      <protection locked="0"/>
    </xf>
    <xf numFmtId="165" fontId="4" fillId="2" borderId="12" xfId="0" applyNumberFormat="1" applyFont="1" applyFill="1" applyBorder="1" applyAlignment="1" applyProtection="1">
      <alignment horizontal="center"/>
      <protection locked="0"/>
    </xf>
    <xf numFmtId="0" fontId="11" fillId="2" borderId="12" xfId="0" applyNumberFormat="1" applyFon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8" borderId="2" xfId="0" applyNumberFormat="1" applyFont="1" applyFill="1" applyBorder="1" applyAlignment="1" applyProtection="1">
      <alignment horizontal="center"/>
      <protection/>
    </xf>
    <xf numFmtId="0" fontId="5" fillId="5" borderId="2" xfId="0" applyNumberFormat="1" applyFont="1" applyFill="1" applyBorder="1" applyAlignment="1" applyProtection="1">
      <alignment horizontal="center"/>
      <protection/>
    </xf>
    <xf numFmtId="0" fontId="4" fillId="4" borderId="14" xfId="0" applyNumberFormat="1" applyFont="1" applyFill="1" applyBorder="1" applyAlignment="1" applyProtection="1">
      <alignment horizontal="right" vertical="center" wrapText="1"/>
      <protection/>
    </xf>
    <xf numFmtId="0" fontId="4" fillId="4" borderId="15" xfId="0" applyNumberFormat="1" applyFont="1" applyFill="1" applyBorder="1" applyAlignment="1" applyProtection="1">
      <alignment horizontal="right" vertical="center" wrapText="1"/>
      <protection/>
    </xf>
    <xf numFmtId="0" fontId="4" fillId="4" borderId="16" xfId="0" applyNumberFormat="1" applyFont="1" applyFill="1" applyBorder="1" applyAlignment="1" applyProtection="1">
      <alignment horizontal="right" vertical="center" wrapText="1"/>
      <protection/>
    </xf>
    <xf numFmtId="0" fontId="4" fillId="4" borderId="9" xfId="0" applyNumberFormat="1" applyFont="1" applyFill="1" applyBorder="1" applyAlignment="1" applyProtection="1">
      <alignment horizontal="right"/>
      <protection/>
    </xf>
    <xf numFmtId="0" fontId="4" fillId="4" borderId="17" xfId="0" applyNumberFormat="1" applyFont="1" applyFill="1" applyBorder="1" applyAlignment="1" applyProtection="1">
      <alignment horizontal="right"/>
      <protection/>
    </xf>
    <xf numFmtId="0" fontId="4" fillId="4" borderId="12" xfId="0" applyNumberFormat="1" applyFont="1" applyFill="1" applyBorder="1" applyAlignment="1" applyProtection="1">
      <alignment horizontal="right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5" fillId="5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5" borderId="9" xfId="0" applyNumberFormat="1" applyFont="1" applyFill="1" applyBorder="1" applyAlignment="1" applyProtection="1">
      <alignment horizontal="right"/>
      <protection/>
    </xf>
    <xf numFmtId="0" fontId="4" fillId="5" borderId="17" xfId="0" applyNumberFormat="1" applyFont="1" applyFill="1" applyBorder="1" applyAlignment="1" applyProtection="1">
      <alignment horizontal="right"/>
      <protection/>
    </xf>
    <xf numFmtId="0" fontId="4" fillId="5" borderId="12" xfId="0" applyNumberFormat="1" applyFont="1" applyFill="1" applyBorder="1" applyAlignment="1" applyProtection="1">
      <alignment horizontal="right"/>
      <protection/>
    </xf>
    <xf numFmtId="0" fontId="4" fillId="9" borderId="18" xfId="0" applyFont="1" applyFill="1" applyBorder="1" applyAlignment="1">
      <alignment horizontal="right"/>
    </xf>
    <xf numFmtId="0" fontId="4" fillId="9" borderId="19" xfId="0" applyFont="1" applyFill="1" applyBorder="1" applyAlignment="1">
      <alignment horizontal="right"/>
    </xf>
    <xf numFmtId="0" fontId="4" fillId="9" borderId="20" xfId="0" applyFont="1" applyFill="1" applyBorder="1" applyAlignment="1">
      <alignment horizontal="right"/>
    </xf>
    <xf numFmtId="0" fontId="4" fillId="9" borderId="21" xfId="0" applyFont="1" applyFill="1" applyBorder="1" applyAlignment="1">
      <alignment horizontal="right"/>
    </xf>
    <xf numFmtId="0" fontId="4" fillId="10" borderId="22" xfId="0" applyNumberFormat="1" applyFont="1" applyFill="1" applyBorder="1" applyAlignment="1" applyProtection="1">
      <alignment horizontal="center" wrapText="1"/>
      <protection/>
    </xf>
    <xf numFmtId="0" fontId="4" fillId="10" borderId="23" xfId="0" applyNumberFormat="1" applyFont="1" applyFill="1" applyBorder="1" applyAlignment="1" applyProtection="1">
      <alignment horizontal="center"/>
      <protection/>
    </xf>
    <xf numFmtId="0" fontId="4" fillId="10" borderId="24" xfId="0" applyNumberFormat="1" applyFont="1" applyFill="1" applyBorder="1" applyAlignment="1" applyProtection="1">
      <alignment horizontal="center"/>
      <protection/>
    </xf>
    <xf numFmtId="0" fontId="4" fillId="10" borderId="25" xfId="0" applyNumberFormat="1" applyFont="1" applyFill="1" applyBorder="1" applyAlignment="1" applyProtection="1">
      <alignment horizontal="center"/>
      <protection/>
    </xf>
    <xf numFmtId="0" fontId="4" fillId="10" borderId="0" xfId="0" applyNumberFormat="1" applyFont="1" applyFill="1" applyBorder="1" applyAlignment="1" applyProtection="1">
      <alignment horizontal="center"/>
      <protection/>
    </xf>
    <xf numFmtId="0" fontId="4" fillId="10" borderId="26" xfId="0" applyNumberFormat="1" applyFont="1" applyFill="1" applyBorder="1" applyAlignment="1" applyProtection="1">
      <alignment horizontal="center"/>
      <protection/>
    </xf>
    <xf numFmtId="0" fontId="4" fillId="10" borderId="27" xfId="0" applyNumberFormat="1" applyFont="1" applyFill="1" applyBorder="1" applyAlignment="1" applyProtection="1">
      <alignment horizontal="center"/>
      <protection/>
    </xf>
    <xf numFmtId="0" fontId="4" fillId="10" borderId="28" xfId="0" applyNumberFormat="1" applyFont="1" applyFill="1" applyBorder="1" applyAlignment="1" applyProtection="1">
      <alignment horizontal="center"/>
      <protection/>
    </xf>
    <xf numFmtId="0" fontId="4" fillId="10" borderId="2" xfId="0" applyNumberFormat="1" applyFont="1" applyFill="1" applyBorder="1" applyAlignment="1" applyProtection="1">
      <alignment horizontal="center"/>
      <protection/>
    </xf>
    <xf numFmtId="0" fontId="4" fillId="11" borderId="2" xfId="0" applyNumberFormat="1" applyFont="1" applyFill="1" applyBorder="1" applyAlignment="1" applyProtection="1">
      <alignment horizontal="center"/>
      <protection/>
    </xf>
    <xf numFmtId="0" fontId="4" fillId="5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11" fillId="12" borderId="2" xfId="0" applyNumberFormat="1" applyFont="1" applyFill="1" applyBorder="1" applyAlignment="1" applyProtection="1">
      <alignment horizontal="center"/>
      <protection/>
    </xf>
    <xf numFmtId="0" fontId="2" fillId="12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4" borderId="2" xfId="0" applyNumberFormat="1" applyFont="1" applyFill="1" applyBorder="1" applyAlignment="1" applyProtection="1">
      <alignment horizontal="center"/>
      <protection/>
    </xf>
    <xf numFmtId="0" fontId="11" fillId="9" borderId="2" xfId="0" applyFont="1" applyFill="1" applyBorder="1" applyAlignment="1">
      <alignment horizontal="center"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5" fillId="14" borderId="25" xfId="0" applyNumberFormat="1" applyFont="1" applyFill="1" applyBorder="1" applyAlignment="1" applyProtection="1">
      <alignment horizontal="center" vertical="top" wrapText="1"/>
      <protection/>
    </xf>
    <xf numFmtId="0" fontId="15" fillId="14" borderId="0" xfId="0" applyNumberFormat="1" applyFont="1" applyFill="1" applyBorder="1" applyAlignment="1" applyProtection="1">
      <alignment horizontal="center" vertical="top" wrapText="1"/>
      <protection/>
    </xf>
    <xf numFmtId="0" fontId="15" fillId="14" borderId="26" xfId="0" applyNumberFormat="1" applyFont="1" applyFill="1" applyBorder="1" applyAlignment="1" applyProtection="1">
      <alignment horizontal="center" vertical="top" wrapText="1"/>
      <protection/>
    </xf>
    <xf numFmtId="0" fontId="15" fillId="14" borderId="29" xfId="0" applyNumberFormat="1" applyFont="1" applyFill="1" applyBorder="1" applyAlignment="1" applyProtection="1">
      <alignment horizontal="center" vertical="top" wrapText="1"/>
      <protection/>
    </xf>
    <xf numFmtId="0" fontId="15" fillId="14" borderId="27" xfId="0" applyNumberFormat="1" applyFont="1" applyFill="1" applyBorder="1" applyAlignment="1" applyProtection="1">
      <alignment horizontal="center" vertical="top" wrapText="1"/>
      <protection/>
    </xf>
    <xf numFmtId="0" fontId="15" fillId="14" borderId="28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1" workbookViewId="0" topLeftCell="A1">
      <pane ySplit="14" topLeftCell="BM15" activePane="bottomLeft" state="frozen"/>
      <selection pane="topLeft" activeCell="K5" sqref="K5"/>
      <selection pane="topLeft" activeCell="A1" sqref="A1"/>
      <selection pane="bottomLeft" activeCell="R30" sqref="R30"/>
      <selection pane="topLeft" activeCell="A1" sqref="A1:K3"/>
      <selection pane="topLeft" activeCell="A1" sqref="A1"/>
      <selection pane="bottomLeft" activeCell="P12" sqref="P12"/>
    </sheetView>
  </sheetViews>
  <sheetFormatPr defaultColWidth="9.140625" defaultRowHeight="11.25" customHeight="1"/>
  <cols>
    <col min="1" max="1" width="8.00390625" style="7" customWidth="1"/>
    <col min="2" max="2" width="9.140625" style="7" customWidth="1"/>
    <col min="3" max="3" width="8.00390625" style="7" customWidth="1"/>
    <col min="4" max="4" width="9.421875" style="7" customWidth="1"/>
    <col min="5" max="5" width="8.140625" style="7" customWidth="1"/>
    <col min="6" max="6" width="10.28125" style="7" customWidth="1"/>
    <col min="7" max="7" width="11.140625" style="7" customWidth="1"/>
    <col min="8" max="8" width="8.7109375" style="7" customWidth="1"/>
    <col min="9" max="9" width="7.8515625" style="7" customWidth="1"/>
    <col min="10" max="10" width="8.57421875" style="7" customWidth="1"/>
    <col min="11" max="11" width="9.8515625" style="7" customWidth="1"/>
    <col min="12" max="12" width="5.140625" style="7" hidden="1" customWidth="1"/>
    <col min="13" max="13" width="7.00390625" style="7" hidden="1" customWidth="1"/>
    <col min="14" max="14" width="0.71875" style="7" hidden="1" customWidth="1"/>
    <col min="15" max="17" width="9.140625" style="7" customWidth="1"/>
    <col min="18" max="18" width="9.57421875" style="7" customWidth="1"/>
    <col min="19" max="24" width="9.140625" style="7" customWidth="1"/>
    <col min="25" max="16384" width="9.140625" style="9" customWidth="1"/>
  </cols>
  <sheetData>
    <row r="1" spans="1:24" ht="11.25" customHeight="1">
      <c r="A1" s="82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1"/>
      <c r="M1" s="8"/>
      <c r="X1" s="9"/>
    </row>
    <row r="2" spans="1:24" ht="11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7"/>
      <c r="L2" s="1"/>
      <c r="M2" s="8"/>
      <c r="X2" s="9"/>
    </row>
    <row r="3" spans="1:24" ht="11.25" customHeight="1" thickBot="1">
      <c r="A3" s="85"/>
      <c r="B3" s="86"/>
      <c r="C3" s="86"/>
      <c r="D3" s="86"/>
      <c r="E3" s="86"/>
      <c r="F3" s="88"/>
      <c r="G3" s="88"/>
      <c r="H3" s="88"/>
      <c r="I3" s="88"/>
      <c r="J3" s="88"/>
      <c r="K3" s="89"/>
      <c r="L3" s="1"/>
      <c r="M3" s="8"/>
      <c r="X3" s="9"/>
    </row>
    <row r="4" spans="1:24" ht="11.25" customHeight="1">
      <c r="A4" s="92" t="s">
        <v>23</v>
      </c>
      <c r="B4" s="92"/>
      <c r="C4" s="92"/>
      <c r="D4" s="92"/>
      <c r="E4" s="92"/>
      <c r="F4" s="51">
        <v>15780</v>
      </c>
      <c r="G4" s="45" t="s">
        <v>14</v>
      </c>
      <c r="H4" s="48" t="s">
        <v>15</v>
      </c>
      <c r="I4" s="100" t="s">
        <v>47</v>
      </c>
      <c r="J4" s="101"/>
      <c r="K4" s="102"/>
      <c r="L4" s="1"/>
      <c r="M4" s="8"/>
      <c r="X4" s="9"/>
    </row>
    <row r="5" spans="1:24" ht="11.25" customHeight="1">
      <c r="A5" s="93" t="s">
        <v>12</v>
      </c>
      <c r="B5" s="93"/>
      <c r="C5" s="93"/>
      <c r="D5" s="93"/>
      <c r="E5" s="93"/>
      <c r="F5" s="52">
        <v>9000</v>
      </c>
      <c r="G5" s="60" t="s">
        <v>24</v>
      </c>
      <c r="H5" s="49">
        <v>2</v>
      </c>
      <c r="I5" s="100"/>
      <c r="J5" s="101"/>
      <c r="K5" s="102"/>
      <c r="L5" s="8"/>
      <c r="M5" s="10"/>
      <c r="X5" s="9"/>
    </row>
    <row r="6" spans="1:24" ht="11.25" customHeight="1">
      <c r="A6" s="92" t="s">
        <v>21</v>
      </c>
      <c r="B6" s="92"/>
      <c r="C6" s="92"/>
      <c r="D6" s="92"/>
      <c r="E6" s="92"/>
      <c r="F6" s="52">
        <v>30</v>
      </c>
      <c r="G6" s="61" t="s">
        <v>13</v>
      </c>
      <c r="H6" s="49">
        <v>6</v>
      </c>
      <c r="I6" s="100"/>
      <c r="J6" s="101"/>
      <c r="K6" s="102"/>
      <c r="L6" s="8"/>
      <c r="X6" s="9"/>
    </row>
    <row r="7" spans="1:12" ht="11.25" customHeight="1">
      <c r="A7" s="93" t="s">
        <v>10</v>
      </c>
      <c r="B7" s="93"/>
      <c r="C7" s="93"/>
      <c r="D7" s="93"/>
      <c r="E7" s="93"/>
      <c r="F7" s="53">
        <v>7</v>
      </c>
      <c r="G7" s="61" t="s">
        <v>22</v>
      </c>
      <c r="H7" s="49">
        <v>9</v>
      </c>
      <c r="I7" s="100"/>
      <c r="J7" s="101"/>
      <c r="K7" s="102"/>
      <c r="L7" s="8"/>
    </row>
    <row r="8" spans="1:12" ht="11.25" customHeight="1">
      <c r="A8" s="98" t="s">
        <v>45</v>
      </c>
      <c r="B8" s="98"/>
      <c r="C8" s="98"/>
      <c r="D8" s="98"/>
      <c r="E8" s="98"/>
      <c r="F8" s="54" t="s">
        <v>46</v>
      </c>
      <c r="G8" s="61" t="s">
        <v>11</v>
      </c>
      <c r="H8" s="49">
        <v>12</v>
      </c>
      <c r="I8" s="100"/>
      <c r="J8" s="101"/>
      <c r="K8" s="102"/>
      <c r="L8" s="8"/>
    </row>
    <row r="9" spans="1:22" ht="11.25" customHeight="1" thickBot="1">
      <c r="A9" s="97" t="s">
        <v>19</v>
      </c>
      <c r="B9" s="97"/>
      <c r="C9" s="97"/>
      <c r="D9" s="97"/>
      <c r="E9" s="97"/>
      <c r="F9" s="55">
        <v>420</v>
      </c>
      <c r="G9" s="61" t="s">
        <v>20</v>
      </c>
      <c r="H9" s="49">
        <v>16</v>
      </c>
      <c r="I9" s="103"/>
      <c r="J9" s="104"/>
      <c r="K9" s="105"/>
      <c r="L9" s="8"/>
      <c r="V9" s="29">
        <f>IF($F$10="N",LOOKUP($F$4,Sheet3!$A$1:$A$206,Sheet3!$B$1:$B$206),LOOKUP($F$4,Sheet3!$E$1:$E$16,Sheet3!$F$1:$F$16))</f>
        <v>40890</v>
      </c>
    </row>
    <row r="10" spans="1:12" ht="11.25" customHeight="1">
      <c r="A10" s="99" t="s">
        <v>44</v>
      </c>
      <c r="B10" s="99"/>
      <c r="C10" s="99"/>
      <c r="D10" s="99"/>
      <c r="E10" s="99"/>
      <c r="F10" s="56" t="s">
        <v>46</v>
      </c>
      <c r="G10" s="78" t="s">
        <v>28</v>
      </c>
      <c r="H10" s="79"/>
      <c r="I10" s="80"/>
      <c r="J10" s="81"/>
      <c r="K10" s="50">
        <f>IF(F10="Y",INT((F4-13260)/840)," ")</f>
        <v>3</v>
      </c>
      <c r="L10" s="8"/>
    </row>
    <row r="11" spans="1:12" ht="11.25" customHeight="1">
      <c r="A11" s="71" t="s">
        <v>36</v>
      </c>
      <c r="B11" s="71"/>
      <c r="C11" s="71"/>
      <c r="D11" s="71"/>
      <c r="E11" s="71"/>
      <c r="F11" s="57" t="s">
        <v>33</v>
      </c>
      <c r="G11" s="65" t="s">
        <v>18</v>
      </c>
      <c r="H11" s="66"/>
      <c r="I11" s="66"/>
      <c r="J11" s="67"/>
      <c r="K11" s="46">
        <v>3200</v>
      </c>
      <c r="L11" s="8"/>
    </row>
    <row r="12" spans="1:12" ht="11.25" customHeight="1">
      <c r="A12" s="72" t="s">
        <v>9</v>
      </c>
      <c r="B12" s="72"/>
      <c r="C12" s="72"/>
      <c r="D12" s="72"/>
      <c r="E12" s="72"/>
      <c r="F12" s="58">
        <v>30</v>
      </c>
      <c r="G12" s="75" t="s">
        <v>37</v>
      </c>
      <c r="H12" s="76"/>
      <c r="I12" s="76"/>
      <c r="J12" s="77"/>
      <c r="K12" s="47" t="s">
        <v>33</v>
      </c>
      <c r="L12" s="8"/>
    </row>
    <row r="13" spans="1:13" ht="11.25" customHeight="1">
      <c r="A13" s="73" t="s">
        <v>38</v>
      </c>
      <c r="B13" s="73"/>
      <c r="C13" s="73"/>
      <c r="D13" s="73"/>
      <c r="E13" s="73"/>
      <c r="F13" s="59">
        <v>0</v>
      </c>
      <c r="G13" s="68" t="s">
        <v>39</v>
      </c>
      <c r="H13" s="69"/>
      <c r="I13" s="69"/>
      <c r="J13" s="70"/>
      <c r="K13" s="47">
        <v>0</v>
      </c>
      <c r="L13" s="12"/>
      <c r="M13" s="8"/>
    </row>
    <row r="14" spans="1:11" ht="11.25" customHeight="1">
      <c r="A14" s="23"/>
      <c r="B14" s="24" t="s">
        <v>0</v>
      </c>
      <c r="C14" s="24" t="s">
        <v>1</v>
      </c>
      <c r="D14" s="24" t="s">
        <v>25</v>
      </c>
      <c r="E14" s="24" t="s">
        <v>3</v>
      </c>
      <c r="F14" s="24" t="s">
        <v>4</v>
      </c>
      <c r="G14" s="64" t="s">
        <v>26</v>
      </c>
      <c r="H14" s="64"/>
      <c r="I14" s="64"/>
      <c r="J14" s="64"/>
      <c r="K14" s="24" t="s">
        <v>17</v>
      </c>
    </row>
    <row r="15" spans="1:26" ht="11.25" customHeight="1">
      <c r="A15" s="21">
        <v>38718</v>
      </c>
      <c r="B15" s="22">
        <f>IF(OR(AND(F4=18300,F8="Y"),AND(F4&gt;18300,K12="N")),V9+INT((V9+F5)*0.03/10+0.99)*10,IF($K$12="Y",LOOKUP($F$4,Sheet3!$I$1:$I$16,Sheet3!$J$1:$J$16),IF($F$10="N",LOOKUP($F$4,Sheet3!$A$1:$A$206,Sheet3!$B$1:$B$206),LOOKUP($F$4,Sheet3!$E$1:$E$16,Sheet3!$F$1:$F$16))))</f>
        <v>40890</v>
      </c>
      <c r="C15" s="22">
        <f>F5</f>
        <v>9000</v>
      </c>
      <c r="D15" s="22">
        <f aca="true" t="shared" si="0" ref="D15:D46">C15+B15</f>
        <v>49890</v>
      </c>
      <c r="E15" s="22">
        <f aca="true" t="shared" si="1" ref="E15:E20">INT(D15*0/100+0.5)</f>
        <v>0</v>
      </c>
      <c r="F15" s="22">
        <f aca="true" t="shared" si="2" ref="F15:F46">D15+E15</f>
        <v>49890</v>
      </c>
      <c r="G15" s="22">
        <f>F4</f>
        <v>15780</v>
      </c>
      <c r="H15" s="22">
        <f aca="true" t="shared" si="3" ref="H15:H46">INT(G15/2+0.5)</f>
        <v>7890</v>
      </c>
      <c r="I15" s="22">
        <f aca="true" t="shared" si="4" ref="I15:I20">INT((G15+H15)*24/100+0.5)</f>
        <v>5681</v>
      </c>
      <c r="J15" s="22">
        <f aca="true" t="shared" si="5" ref="J15:J46">I15+H15+G15</f>
        <v>29351</v>
      </c>
      <c r="K15" s="22">
        <f aca="true" t="shared" si="6" ref="K15:K46">F15-J15</f>
        <v>20539</v>
      </c>
      <c r="W15" s="8">
        <v>13</v>
      </c>
      <c r="X15" s="8">
        <v>1</v>
      </c>
      <c r="Y15" s="18">
        <v>1</v>
      </c>
      <c r="Z15" s="18">
        <v>1</v>
      </c>
    </row>
    <row r="16" spans="1:26" ht="11.25" customHeight="1">
      <c r="A16" s="13">
        <v>38749</v>
      </c>
      <c r="B16" s="14">
        <f>B15</f>
        <v>40890</v>
      </c>
      <c r="C16" s="14">
        <f>INT((B15+$F$5)*0/100+0.5)+$C$15</f>
        <v>9000</v>
      </c>
      <c r="D16" s="14">
        <f t="shared" si="0"/>
        <v>49890</v>
      </c>
      <c r="E16" s="14">
        <f t="shared" si="1"/>
        <v>0</v>
      </c>
      <c r="F16" s="14">
        <f t="shared" si="2"/>
        <v>49890</v>
      </c>
      <c r="G16" s="14">
        <f>IF('lecturer-reader'!V17=0,G15+$F$9,G15)</f>
        <v>15780</v>
      </c>
      <c r="H16" s="14">
        <f t="shared" si="3"/>
        <v>7890</v>
      </c>
      <c r="I16" s="14">
        <f t="shared" si="4"/>
        <v>5681</v>
      </c>
      <c r="J16" s="14">
        <f t="shared" si="5"/>
        <v>29351</v>
      </c>
      <c r="K16" s="14">
        <f t="shared" si="6"/>
        <v>20539</v>
      </c>
      <c r="L16" s="11"/>
      <c r="M16" s="15"/>
      <c r="N16" s="11"/>
      <c r="T16" s="8"/>
      <c r="U16" s="8">
        <f>IF($F$4&gt;=19560,1,IF(OR(AND($F$4&gt;=18300,$F$8="Y",$F$7&gt;1),AND($F$4&gt;=18300,$F$8="N",$F$7=1)),IF('lecturer-reader'!$F$7-'lecturer-reader'!Y15=0,0,1),IF(OR(AND($F$4&gt;=18300,$F$8="N",$F$7&gt;1),AND($F$4&gt;=18300,$F$8="Y",$F$7=1)),IF('lecturer-reader'!$F$7-'lecturer-reader'!W15=0,0,1),IF('lecturer-reader'!$F$7-'lecturer-reader'!X15=0,0,1))))</f>
        <v>1</v>
      </c>
      <c r="V16" s="8">
        <f>IF(AND(U16=0,$F$4&lt;18300),IF(OR(AND($F$4+$F$9=18300,OR('lecturer-reader'!Z15&lt;=13,'lecturer-reader'!Z15&gt;25)),AND($F$4+$F$9*2=18300,'lecturer-reader'!Z15&lt;=25),$F$4+$F$9*2&lt;18300),U16,1),U16)</f>
        <v>1</v>
      </c>
      <c r="W16" s="8">
        <v>14</v>
      </c>
      <c r="X16" s="8">
        <v>2</v>
      </c>
      <c r="Y16" s="18">
        <f aca="true" t="shared" si="7" ref="Y16:Z20">Y15+1</f>
        <v>2</v>
      </c>
      <c r="Z16" s="18">
        <f t="shared" si="7"/>
        <v>2</v>
      </c>
    </row>
    <row r="17" spans="1:26" ht="11.25" customHeight="1">
      <c r="A17" s="13">
        <v>38777</v>
      </c>
      <c r="B17" s="14">
        <f>B16</f>
        <v>40890</v>
      </c>
      <c r="C17" s="14">
        <f>INT((B16+$F$5)*0/100+0.5)+$C$15</f>
        <v>9000</v>
      </c>
      <c r="D17" s="14">
        <f t="shared" si="0"/>
        <v>49890</v>
      </c>
      <c r="E17" s="14">
        <f t="shared" si="1"/>
        <v>0</v>
      </c>
      <c r="F17" s="14">
        <f t="shared" si="2"/>
        <v>49890</v>
      </c>
      <c r="G17" s="14">
        <f>IF('lecturer-reader'!V18=0,G16+$F$9,G16)</f>
        <v>15780</v>
      </c>
      <c r="H17" s="14">
        <f t="shared" si="3"/>
        <v>7890</v>
      </c>
      <c r="I17" s="14">
        <f t="shared" si="4"/>
        <v>5681</v>
      </c>
      <c r="J17" s="14">
        <f t="shared" si="5"/>
        <v>29351</v>
      </c>
      <c r="K17" s="14">
        <f t="shared" si="6"/>
        <v>20539</v>
      </c>
      <c r="L17" s="8"/>
      <c r="M17" s="8"/>
      <c r="N17" s="11"/>
      <c r="U17" s="8">
        <f>IF($F$4&gt;=19560,1,IF(OR(AND($F$4&gt;=18300,$F$8="Y",$F$7&gt;1),AND($F$4&gt;=18300,$F$8="N",$F$7=1)),IF('lecturer-reader'!$F$7-'lecturer-reader'!Y16=0,0,1),IF(OR(AND($F$4&gt;=18300,$F$8="N",$F$7&gt;1),AND($F$4&gt;=18300,$F$8="Y",$F$7=1)),IF('lecturer-reader'!$F$7-'lecturer-reader'!W16=0,0,1),IF('lecturer-reader'!$F$7-'lecturer-reader'!X16=0,0,1))))</f>
        <v>1</v>
      </c>
      <c r="V17" s="8">
        <f>IF(AND(U17=0,$F$4&lt;18300),IF(OR(AND($F$4+$F$9=18300,OR('lecturer-reader'!Z16&lt;=13,'lecturer-reader'!Z16&gt;25)),AND($F$4+$F$9*2=18300,'lecturer-reader'!Z16&lt;=25),$F$4+$F$9*2&lt;18300),U17,1),U17)</f>
        <v>1</v>
      </c>
      <c r="W17" s="8">
        <v>15</v>
      </c>
      <c r="X17" s="8">
        <v>3</v>
      </c>
      <c r="Y17" s="18">
        <f t="shared" si="7"/>
        <v>3</v>
      </c>
      <c r="Z17" s="18">
        <f t="shared" si="7"/>
        <v>3</v>
      </c>
    </row>
    <row r="18" spans="1:26" ht="11.25" customHeight="1">
      <c r="A18" s="13">
        <v>38808</v>
      </c>
      <c r="B18" s="14">
        <f>B17</f>
        <v>40890</v>
      </c>
      <c r="C18" s="14">
        <f>INT((B17+$F$5)*0/100+0.5)+$C$15</f>
        <v>9000</v>
      </c>
      <c r="D18" s="14">
        <f t="shared" si="0"/>
        <v>49890</v>
      </c>
      <c r="E18" s="14">
        <f t="shared" si="1"/>
        <v>0</v>
      </c>
      <c r="F18" s="14">
        <f t="shared" si="2"/>
        <v>49890</v>
      </c>
      <c r="G18" s="14">
        <f>IF('lecturer-reader'!V19=0,G17+$F$9,G17)</f>
        <v>15780</v>
      </c>
      <c r="H18" s="14">
        <f t="shared" si="3"/>
        <v>7890</v>
      </c>
      <c r="I18" s="14">
        <f t="shared" si="4"/>
        <v>5681</v>
      </c>
      <c r="J18" s="14">
        <f t="shared" si="5"/>
        <v>29351</v>
      </c>
      <c r="K18" s="14">
        <f t="shared" si="6"/>
        <v>20539</v>
      </c>
      <c r="L18" s="8"/>
      <c r="M18" s="8"/>
      <c r="N18" s="11"/>
      <c r="U18" s="8">
        <f>IF($F$4&gt;=19560,1,IF(OR(AND($F$4&gt;=18300,$F$8="Y",$F$7&gt;1),AND($F$4&gt;=18300,$F$8="N",$F$7=1)),IF('lecturer-reader'!$F$7-'lecturer-reader'!Y17=0,0,1),IF(OR(AND($F$4&gt;=18300,$F$8="N",$F$7&gt;1),AND($F$4&gt;=18300,$F$8="Y",$F$7=1)),IF('lecturer-reader'!$F$7-'lecturer-reader'!W17=0,0,1),IF('lecturer-reader'!$F$7-'lecturer-reader'!X17=0,0,1))))</f>
        <v>1</v>
      </c>
      <c r="V18" s="8">
        <f>IF(AND(U18=0,$F$4&lt;18300),IF(OR(AND($F$4+$F$9=18300,OR('lecturer-reader'!Z17&lt;=13,'lecturer-reader'!Z17&gt;25)),AND($F$4+$F$9*2=18300,'lecturer-reader'!Z17&lt;=25),$F$4+$F$9*2&lt;18300),U18,1),U18)</f>
        <v>1</v>
      </c>
      <c r="W18" s="8">
        <v>16</v>
      </c>
      <c r="X18" s="8">
        <v>4</v>
      </c>
      <c r="Y18" s="18">
        <f t="shared" si="7"/>
        <v>4</v>
      </c>
      <c r="Z18" s="18">
        <f t="shared" si="7"/>
        <v>4</v>
      </c>
    </row>
    <row r="19" spans="1:26" ht="11.25" customHeight="1">
      <c r="A19" s="13">
        <v>38838</v>
      </c>
      <c r="B19" s="14">
        <f>B18</f>
        <v>40890</v>
      </c>
      <c r="C19" s="14">
        <f>INT((B18+$F$5)*0/100+0.5)+$C$15</f>
        <v>9000</v>
      </c>
      <c r="D19" s="14">
        <f t="shared" si="0"/>
        <v>49890</v>
      </c>
      <c r="E19" s="14">
        <f t="shared" si="1"/>
        <v>0</v>
      </c>
      <c r="F19" s="14">
        <f t="shared" si="2"/>
        <v>49890</v>
      </c>
      <c r="G19" s="14">
        <f>IF('lecturer-reader'!V20=0,G18+$F$9,G18)</f>
        <v>15780</v>
      </c>
      <c r="H19" s="14">
        <f t="shared" si="3"/>
        <v>7890</v>
      </c>
      <c r="I19" s="14">
        <f t="shared" si="4"/>
        <v>5681</v>
      </c>
      <c r="J19" s="14">
        <f t="shared" si="5"/>
        <v>29351</v>
      </c>
      <c r="K19" s="14">
        <f t="shared" si="6"/>
        <v>20539</v>
      </c>
      <c r="L19" s="8"/>
      <c r="M19" s="15"/>
      <c r="N19" s="11"/>
      <c r="U19" s="8">
        <f>IF($F$4&gt;=19560,1,IF(OR(AND($F$4&gt;=18300,$F$8="Y",$F$7&gt;1),AND($F$4&gt;=18300,$F$8="N",$F$7=1)),IF('lecturer-reader'!$F$7-'lecturer-reader'!Y18=0,0,1),IF(OR(AND($F$4&gt;=18300,$F$8="N",$F$7&gt;1),AND($F$4&gt;=18300,$F$8="Y",$F$7=1)),IF('lecturer-reader'!$F$7-'lecturer-reader'!W18=0,0,1),IF('lecturer-reader'!$F$7-'lecturer-reader'!X18=0,0,1))))</f>
        <v>1</v>
      </c>
      <c r="V19" s="8">
        <f>IF(AND(U19=0,$F$4&lt;18300),IF(OR(AND($F$4+$F$9=18300,OR('lecturer-reader'!Z18&lt;=13,'lecturer-reader'!Z18&gt;25)),AND($F$4+$F$9*2=18300,'lecturer-reader'!Z18&lt;=25),$F$4+$F$9*2&lt;18300),U19,1),U19)</f>
        <v>1</v>
      </c>
      <c r="W19" s="8">
        <v>17</v>
      </c>
      <c r="X19" s="8">
        <v>5</v>
      </c>
      <c r="Y19" s="18">
        <f t="shared" si="7"/>
        <v>5</v>
      </c>
      <c r="Z19" s="18">
        <f t="shared" si="7"/>
        <v>5</v>
      </c>
    </row>
    <row r="20" spans="1:26" ht="11.25" customHeight="1">
      <c r="A20" s="13">
        <v>38869</v>
      </c>
      <c r="B20" s="14">
        <f>B19</f>
        <v>40890</v>
      </c>
      <c r="C20" s="14">
        <f>INT((B19+$F$5)*0/100+0.5)+$C$15</f>
        <v>9000</v>
      </c>
      <c r="D20" s="14">
        <f t="shared" si="0"/>
        <v>49890</v>
      </c>
      <c r="E20" s="14">
        <f t="shared" si="1"/>
        <v>0</v>
      </c>
      <c r="F20" s="14">
        <f t="shared" si="2"/>
        <v>49890</v>
      </c>
      <c r="G20" s="14">
        <f>IF('lecturer-reader'!V21=0,G19+$F$9,G19)</f>
        <v>15780</v>
      </c>
      <c r="H20" s="14">
        <f t="shared" si="3"/>
        <v>7890</v>
      </c>
      <c r="I20" s="14">
        <f t="shared" si="4"/>
        <v>5681</v>
      </c>
      <c r="J20" s="14">
        <f t="shared" si="5"/>
        <v>29351</v>
      </c>
      <c r="K20" s="14">
        <f t="shared" si="6"/>
        <v>20539</v>
      </c>
      <c r="L20" s="8"/>
      <c r="M20" s="8"/>
      <c r="N20" s="11"/>
      <c r="U20" s="8">
        <f>IF($F$4&gt;=19560,1,IF(OR(AND($F$4&gt;=18300,$F$8="Y",$F$7&gt;1),AND($F$4&gt;=18300,$F$8="N",$F$7=1)),IF('lecturer-reader'!$F$7-'lecturer-reader'!Y19=0,0,1),IF(OR(AND($F$4&gt;=18300,$F$8="N",$F$7&gt;1),AND($F$4&gt;=18300,$F$8="Y",$F$7=1)),IF('lecturer-reader'!$F$7-'lecturer-reader'!W19=0,0,1),IF('lecturer-reader'!$F$7-'lecturer-reader'!X19=0,0,1))))</f>
        <v>1</v>
      </c>
      <c r="V20" s="8">
        <f>IF(AND(U20=0,$F$4&lt;18300),IF(OR(AND($F$4+$F$9=18300,OR('lecturer-reader'!Z19&lt;=13,'lecturer-reader'!Z19&gt;25)),AND($F$4+$F$9*2=18300,'lecturer-reader'!Z19&lt;=25),$F$4+$F$9*2&lt;18300),U20,1),U20)</f>
        <v>1</v>
      </c>
      <c r="W20" s="8">
        <v>18</v>
      </c>
      <c r="X20" s="8">
        <v>6</v>
      </c>
      <c r="Y20" s="18">
        <f t="shared" si="7"/>
        <v>6</v>
      </c>
      <c r="Z20" s="18">
        <f t="shared" si="7"/>
        <v>6</v>
      </c>
    </row>
    <row r="21" spans="1:26" ht="11.25" customHeight="1">
      <c r="A21" s="13">
        <v>38899</v>
      </c>
      <c r="B21" s="14">
        <f>$B$20+INT((B20+$F$5)*3/1000+0.99)*10</f>
        <v>42390</v>
      </c>
      <c r="C21" s="14">
        <f>F5</f>
        <v>9000</v>
      </c>
      <c r="D21" s="14">
        <f t="shared" si="0"/>
        <v>51390</v>
      </c>
      <c r="E21" s="14">
        <f aca="true" t="shared" si="8" ref="E21:E26">INT(D21*$H$5/100+0.5)</f>
        <v>1028</v>
      </c>
      <c r="F21" s="14">
        <f t="shared" si="2"/>
        <v>52418</v>
      </c>
      <c r="G21" s="14">
        <f>IF('lecturer-reader'!V22=0,G20+$F$9,G20)</f>
        <v>16200</v>
      </c>
      <c r="H21" s="14">
        <f t="shared" si="3"/>
        <v>8100</v>
      </c>
      <c r="I21" s="14">
        <f aca="true" t="shared" si="9" ref="I21:I26">INT((G21+H21)*29/100+0.5)</f>
        <v>7047</v>
      </c>
      <c r="J21" s="14">
        <f t="shared" si="5"/>
        <v>31347</v>
      </c>
      <c r="K21" s="14">
        <f t="shared" si="6"/>
        <v>21071</v>
      </c>
      <c r="L21" s="8"/>
      <c r="M21" s="8"/>
      <c r="N21" s="11"/>
      <c r="U21" s="8">
        <f>IF($F$4&gt;=19560,1,IF(OR(AND($F$4&gt;=18300,$F$8="Y",$F$7&gt;1),AND($F$4&gt;=18300,$F$8="N",$F$7=1)),IF('lecturer-reader'!$F$7-'lecturer-reader'!Y20=0,0,1),IF(OR(AND($F$4&gt;=18300,$F$8="N",$F$7&gt;1),AND($F$4&gt;=18300,$F$8="Y",$F$7=1)),IF('lecturer-reader'!$F$7-'lecturer-reader'!W20=0,0,1),IF('lecturer-reader'!$F$7-'lecturer-reader'!X20=0,0,1))))</f>
        <v>1</v>
      </c>
      <c r="V21" s="8">
        <f>IF(AND(U21=0,$F$4&lt;18300),IF(OR(AND($F$4+$F$9=18300,OR('lecturer-reader'!Z20&lt;=13,'lecturer-reader'!Z20&gt;25)),AND($F$4+$F$9*2=18300,'lecturer-reader'!Z20&lt;=25),$F$4+$F$9*2&lt;18300),U21,1),U21)</f>
        <v>1</v>
      </c>
      <c r="W21" s="8">
        <v>19</v>
      </c>
      <c r="X21" s="8">
        <v>7</v>
      </c>
      <c r="Y21" s="18">
        <f aca="true" t="shared" si="10" ref="Y21:Y38">Y20+1</f>
        <v>7</v>
      </c>
      <c r="Z21" s="18">
        <f aca="true" t="shared" si="11" ref="Z21:Z38">Z20+1</f>
        <v>7</v>
      </c>
    </row>
    <row r="22" spans="1:26" ht="11.25" customHeight="1">
      <c r="A22" s="13">
        <v>38930</v>
      </c>
      <c r="B22" s="14">
        <f aca="true" t="shared" si="12" ref="B22:B32">B21</f>
        <v>42390</v>
      </c>
      <c r="C22" s="14">
        <f>F5</f>
        <v>9000</v>
      </c>
      <c r="D22" s="14">
        <f t="shared" si="0"/>
        <v>51390</v>
      </c>
      <c r="E22" s="14">
        <f t="shared" si="8"/>
        <v>1028</v>
      </c>
      <c r="F22" s="14">
        <f t="shared" si="2"/>
        <v>52418</v>
      </c>
      <c r="G22" s="14">
        <f>IF('lecturer-reader'!V23=0,G21+$F$9,G21)</f>
        <v>16200</v>
      </c>
      <c r="H22" s="14">
        <f t="shared" si="3"/>
        <v>8100</v>
      </c>
      <c r="I22" s="14">
        <f t="shared" si="9"/>
        <v>7047</v>
      </c>
      <c r="J22" s="14">
        <f t="shared" si="5"/>
        <v>31347</v>
      </c>
      <c r="K22" s="14">
        <f t="shared" si="6"/>
        <v>21071</v>
      </c>
      <c r="L22" s="8"/>
      <c r="M22" s="8"/>
      <c r="N22" s="11"/>
      <c r="U22" s="8">
        <f>IF($F$4&gt;=19560,1,IF(OR(AND($F$4&gt;=18300,$F$8="Y",$F$7&gt;1),AND($F$4&gt;=18300,$F$8="N",$F$7=1)),IF('lecturer-reader'!$F$7-'lecturer-reader'!Y21=0,0,1),IF(OR(AND($F$4&gt;=18300,$F$8="N",$F$7&gt;1),AND($F$4&gt;=18300,$F$8="Y",$F$7=1)),IF('lecturer-reader'!$F$7-'lecturer-reader'!W21=0,0,1),IF('lecturer-reader'!$F$7-'lecturer-reader'!X21=0,0,1))))</f>
        <v>0</v>
      </c>
      <c r="V22" s="8">
        <f>IF(AND(U22=0,$F$4&lt;18300),IF(OR(AND($F$4+$F$9=18300,OR('lecturer-reader'!Z21&lt;=13,'lecturer-reader'!Z21&gt;25)),AND($F$4+$F$9*2=18300,'lecturer-reader'!Z21&lt;=25),$F$4+$F$9*2&lt;18300),U22,1),U22)</f>
        <v>0</v>
      </c>
      <c r="W22" s="8">
        <v>20</v>
      </c>
      <c r="X22" s="8">
        <v>8</v>
      </c>
      <c r="Y22" s="18">
        <f t="shared" si="10"/>
        <v>8</v>
      </c>
      <c r="Z22" s="18">
        <f t="shared" si="11"/>
        <v>8</v>
      </c>
    </row>
    <row r="23" spans="1:26" ht="11.25" customHeight="1">
      <c r="A23" s="13">
        <v>38961</v>
      </c>
      <c r="B23" s="14">
        <f t="shared" si="12"/>
        <v>42390</v>
      </c>
      <c r="C23" s="14">
        <f>F5</f>
        <v>9000</v>
      </c>
      <c r="D23" s="14">
        <f t="shared" si="0"/>
        <v>51390</v>
      </c>
      <c r="E23" s="14">
        <f t="shared" si="8"/>
        <v>1028</v>
      </c>
      <c r="F23" s="14">
        <f t="shared" si="2"/>
        <v>52418</v>
      </c>
      <c r="G23" s="14">
        <f>IF('lecturer-reader'!V24=0,G22+$F$9,G22)</f>
        <v>16200</v>
      </c>
      <c r="H23" s="14">
        <f t="shared" si="3"/>
        <v>8100</v>
      </c>
      <c r="I23" s="14">
        <f>INT((G23+H23)*29/100+0.5)</f>
        <v>7047</v>
      </c>
      <c r="J23" s="14">
        <f t="shared" si="5"/>
        <v>31347</v>
      </c>
      <c r="K23" s="14">
        <f t="shared" si="6"/>
        <v>21071</v>
      </c>
      <c r="L23" s="8"/>
      <c r="M23" s="8"/>
      <c r="N23" s="11"/>
      <c r="U23" s="8">
        <f>IF($F$4&gt;=19560,1,IF(OR(AND($F$4&gt;=18300,$F$8="Y",$F$7&gt;1),AND($F$4&gt;=18300,$F$8="N",$F$7=1)),IF('lecturer-reader'!$F$7-'lecturer-reader'!Y22=0,0,1),IF(OR(AND($F$4&gt;=18300,$F$8="N",$F$7&gt;1),AND($F$4&gt;=18300,$F$8="Y",$F$7=1)),IF('lecturer-reader'!$F$7-'lecturer-reader'!W22=0,0,1),IF('lecturer-reader'!$F$7-'lecturer-reader'!X22=0,0,1))))</f>
        <v>1</v>
      </c>
      <c r="V23" s="8">
        <f>IF(AND(U23=0,$F$4&lt;18300),IF(OR(AND($F$4+$F$9=18300,OR('lecturer-reader'!Z22&lt;=13,'lecturer-reader'!Z22&gt;25)),AND($F$4+$F$9*2=18300,'lecturer-reader'!Z22&lt;=25),$F$4+$F$9*2&lt;18300),U23,1),U23)</f>
        <v>1</v>
      </c>
      <c r="W23" s="8">
        <v>21</v>
      </c>
      <c r="X23" s="8">
        <v>9</v>
      </c>
      <c r="Y23" s="18">
        <f t="shared" si="10"/>
        <v>9</v>
      </c>
      <c r="Z23" s="18">
        <f t="shared" si="11"/>
        <v>9</v>
      </c>
    </row>
    <row r="24" spans="1:26" ht="11.25" customHeight="1">
      <c r="A24" s="13">
        <v>38991</v>
      </c>
      <c r="B24" s="14">
        <f t="shared" si="12"/>
        <v>42390</v>
      </c>
      <c r="C24" s="14">
        <f>F5</f>
        <v>9000</v>
      </c>
      <c r="D24" s="14">
        <f t="shared" si="0"/>
        <v>51390</v>
      </c>
      <c r="E24" s="14">
        <f t="shared" si="8"/>
        <v>1028</v>
      </c>
      <c r="F24" s="14">
        <f t="shared" si="2"/>
        <v>52418</v>
      </c>
      <c r="G24" s="14">
        <f>IF('lecturer-reader'!V25=0,G23+$F$9,G23)</f>
        <v>16200</v>
      </c>
      <c r="H24" s="14">
        <f t="shared" si="3"/>
        <v>8100</v>
      </c>
      <c r="I24" s="14">
        <f t="shared" si="9"/>
        <v>7047</v>
      </c>
      <c r="J24" s="14">
        <f t="shared" si="5"/>
        <v>31347</v>
      </c>
      <c r="K24" s="14">
        <f t="shared" si="6"/>
        <v>21071</v>
      </c>
      <c r="L24" s="8"/>
      <c r="M24" s="8"/>
      <c r="N24" s="11"/>
      <c r="U24" s="8">
        <f>IF($F$4&gt;=19560,1,IF(OR(AND($F$4&gt;=18300,$F$8="Y",$F$7&gt;1),AND($F$4&gt;=18300,$F$8="N",$F$7=1)),IF('lecturer-reader'!$F$7-'lecturer-reader'!Y23=0,0,1),IF(OR(AND($F$4&gt;=18300,$F$8="N",$F$7&gt;1),AND($F$4&gt;=18300,$F$8="Y",$F$7=1)),IF('lecturer-reader'!$F$7-'lecturer-reader'!W23=0,0,1),IF('lecturer-reader'!$F$7-'lecturer-reader'!X23=0,0,1))))</f>
        <v>1</v>
      </c>
      <c r="V24" s="8">
        <f>IF(AND(U24=0,$F$4&lt;18300),IF(OR(AND($F$4+$F$9=18300,OR('lecturer-reader'!Z23&lt;=13,'lecturer-reader'!Z23&gt;25)),AND($F$4+$F$9*2=18300,'lecturer-reader'!Z23&lt;=25),$F$4+$F$9*2&lt;18300),U24,1),U24)</f>
        <v>1</v>
      </c>
      <c r="W24" s="8">
        <v>22</v>
      </c>
      <c r="X24" s="8">
        <v>10</v>
      </c>
      <c r="Y24" s="18">
        <f t="shared" si="10"/>
        <v>10</v>
      </c>
      <c r="Z24" s="18">
        <f t="shared" si="11"/>
        <v>10</v>
      </c>
    </row>
    <row r="25" spans="1:26" ht="11.25" customHeight="1">
      <c r="A25" s="13">
        <v>39022</v>
      </c>
      <c r="B25" s="14">
        <f t="shared" si="12"/>
        <v>42390</v>
      </c>
      <c r="C25" s="14">
        <f>F5</f>
        <v>9000</v>
      </c>
      <c r="D25" s="14">
        <f t="shared" si="0"/>
        <v>51390</v>
      </c>
      <c r="E25" s="14">
        <f t="shared" si="8"/>
        <v>1028</v>
      </c>
      <c r="F25" s="14">
        <f t="shared" si="2"/>
        <v>52418</v>
      </c>
      <c r="G25" s="14">
        <f>IF('lecturer-reader'!V26=0,G24+$F$9,G24)</f>
        <v>16200</v>
      </c>
      <c r="H25" s="14">
        <f t="shared" si="3"/>
        <v>8100</v>
      </c>
      <c r="I25" s="14">
        <f t="shared" si="9"/>
        <v>7047</v>
      </c>
      <c r="J25" s="14">
        <f t="shared" si="5"/>
        <v>31347</v>
      </c>
      <c r="K25" s="14">
        <f t="shared" si="6"/>
        <v>21071</v>
      </c>
      <c r="L25" s="8"/>
      <c r="M25" s="8"/>
      <c r="N25" s="11"/>
      <c r="U25" s="8">
        <f>IF($F$4&gt;=19560,1,IF(OR(AND($F$4&gt;=18300,$F$8="Y",$F$7&gt;1),AND($F$4&gt;=18300,$F$8="N",$F$7=1)),IF('lecturer-reader'!$F$7-'lecturer-reader'!Y24=0,0,1),IF(OR(AND($F$4&gt;=18300,$F$8="N",$F$7&gt;1),AND($F$4&gt;=18300,$F$8="Y",$F$7=1)),IF('lecturer-reader'!$F$7-'lecturer-reader'!W24=0,0,1),IF('lecturer-reader'!$F$7-'lecturer-reader'!X24=0,0,1))))</f>
        <v>1</v>
      </c>
      <c r="V25" s="8">
        <f>IF(AND(U25=0,$F$4&lt;18300),IF(OR(AND($F$4+$F$9=18300,OR('lecturer-reader'!Z24&lt;=13,'lecturer-reader'!Z24&gt;25)),AND($F$4+$F$9*2=18300,'lecturer-reader'!Z24&lt;=25),$F$4+$F$9*2&lt;18300),U25,1),U25)</f>
        <v>1</v>
      </c>
      <c r="W25" s="8">
        <v>23</v>
      </c>
      <c r="X25" s="8">
        <v>11</v>
      </c>
      <c r="Y25" s="18">
        <f t="shared" si="10"/>
        <v>11</v>
      </c>
      <c r="Z25" s="18">
        <f t="shared" si="11"/>
        <v>11</v>
      </c>
    </row>
    <row r="26" spans="1:26" ht="11.25" customHeight="1">
      <c r="A26" s="13">
        <v>39052</v>
      </c>
      <c r="B26" s="14">
        <f t="shared" si="12"/>
        <v>42390</v>
      </c>
      <c r="C26" s="14">
        <f>F5</f>
        <v>9000</v>
      </c>
      <c r="D26" s="14">
        <f t="shared" si="0"/>
        <v>51390</v>
      </c>
      <c r="E26" s="14">
        <f t="shared" si="8"/>
        <v>1028</v>
      </c>
      <c r="F26" s="14">
        <f t="shared" si="2"/>
        <v>52418</v>
      </c>
      <c r="G26" s="14">
        <f>IF('lecturer-reader'!V27=0,G25+$F$9,G25)</f>
        <v>16200</v>
      </c>
      <c r="H26" s="14">
        <f t="shared" si="3"/>
        <v>8100</v>
      </c>
      <c r="I26" s="14">
        <f t="shared" si="9"/>
        <v>7047</v>
      </c>
      <c r="J26" s="14">
        <f t="shared" si="5"/>
        <v>31347</v>
      </c>
      <c r="K26" s="14">
        <f t="shared" si="6"/>
        <v>21071</v>
      </c>
      <c r="L26" s="8"/>
      <c r="M26" s="8"/>
      <c r="N26" s="11"/>
      <c r="U26" s="8">
        <f>IF($F$4&gt;=19560,1,IF(OR(AND($F$4&gt;=18300,$F$8="Y",$F$7&gt;1),AND($F$4&gt;=18300,$F$8="N",$F$7=1)),IF('lecturer-reader'!$F$7-'lecturer-reader'!Y25=0,0,1),IF(OR(AND($F$4&gt;=18300,$F$8="N",$F$7&gt;1),AND($F$4&gt;=18300,$F$8="Y",$F$7=1)),IF('lecturer-reader'!$F$7-'lecturer-reader'!W25=0,0,1),IF('lecturer-reader'!$F$7-'lecturer-reader'!X25=0,0,1))))</f>
        <v>1</v>
      </c>
      <c r="V26" s="8">
        <f>IF(AND(U26=0,$F$4&lt;18300),IF(OR(AND($F$4+$F$9=18300,OR('lecturer-reader'!Z25&lt;=13,'lecturer-reader'!Z25&gt;25)),AND($F$4+$F$9*2=18300,'lecturer-reader'!Z25&lt;=25),$F$4+$F$9*2&lt;18300),U26,1),U26)</f>
        <v>1</v>
      </c>
      <c r="W26" s="8">
        <v>24</v>
      </c>
      <c r="X26" s="8">
        <v>12</v>
      </c>
      <c r="Y26" s="18">
        <f t="shared" si="10"/>
        <v>12</v>
      </c>
      <c r="Z26" s="18">
        <f t="shared" si="11"/>
        <v>12</v>
      </c>
    </row>
    <row r="27" spans="1:26" ht="11.25" customHeight="1">
      <c r="A27" s="13">
        <v>39083</v>
      </c>
      <c r="B27" s="14">
        <f t="shared" si="12"/>
        <v>42390</v>
      </c>
      <c r="C27" s="14">
        <f>F5</f>
        <v>9000</v>
      </c>
      <c r="D27" s="14">
        <f t="shared" si="0"/>
        <v>51390</v>
      </c>
      <c r="E27" s="14">
        <f aca="true" t="shared" si="13" ref="E27:E32">INT(D27*$H$6/100+0.5)</f>
        <v>3083</v>
      </c>
      <c r="F27" s="14">
        <f t="shared" si="2"/>
        <v>54473</v>
      </c>
      <c r="G27" s="14">
        <f>IF('lecturer-reader'!V28=0,G26+$F$9,G26)</f>
        <v>16200</v>
      </c>
      <c r="H27" s="14">
        <f t="shared" si="3"/>
        <v>8100</v>
      </c>
      <c r="I27" s="14">
        <f aca="true" t="shared" si="14" ref="I27:I32">INT((G27+H27)*35/100+0.5)</f>
        <v>8505</v>
      </c>
      <c r="J27" s="14">
        <f t="shared" si="5"/>
        <v>32805</v>
      </c>
      <c r="K27" s="14">
        <f t="shared" si="6"/>
        <v>21668</v>
      </c>
      <c r="L27" s="8"/>
      <c r="M27" s="8"/>
      <c r="N27" s="11"/>
      <c r="U27" s="8">
        <f>IF($F$4&gt;=19560,1,IF(OR(AND($F$4&gt;=18300,$F$8="Y",$F$7&gt;1),AND($F$4&gt;=18300,$F$8="N",$F$7=1)),IF('lecturer-reader'!$F$7-'lecturer-reader'!Y26=0,0,1),IF(OR(AND($F$4&gt;=18300,$F$8="N",$F$7&gt;1),AND($F$4&gt;=18300,$F$8="Y",$F$7=1)),IF('lecturer-reader'!$F$7-'lecturer-reader'!W26=0,0,1),IF('lecturer-reader'!$F$7-'lecturer-reader'!X26=0,0,1))))</f>
        <v>1</v>
      </c>
      <c r="V27" s="8">
        <f>IF(AND(U27=0,$F$4&lt;18300),IF(OR(AND($F$4+$F$9=18300,OR('lecturer-reader'!Z26&lt;=13,'lecturer-reader'!Z26&gt;25)),AND($F$4+$F$9*2=18300,'lecturer-reader'!Z26&lt;=25),$F$4+$F$9*2&lt;18300),U27,1),U27)</f>
        <v>1</v>
      </c>
      <c r="W27" s="8">
        <v>1</v>
      </c>
      <c r="X27" s="8">
        <v>1</v>
      </c>
      <c r="Y27" s="18">
        <f t="shared" si="10"/>
        <v>13</v>
      </c>
      <c r="Z27" s="18">
        <f t="shared" si="11"/>
        <v>13</v>
      </c>
    </row>
    <row r="28" spans="1:26" ht="11.25" customHeight="1">
      <c r="A28" s="13">
        <v>39114</v>
      </c>
      <c r="B28" s="14">
        <f t="shared" si="12"/>
        <v>42390</v>
      </c>
      <c r="C28" s="14">
        <f>F5</f>
        <v>9000</v>
      </c>
      <c r="D28" s="14">
        <f t="shared" si="0"/>
        <v>51390</v>
      </c>
      <c r="E28" s="14">
        <f t="shared" si="13"/>
        <v>3083</v>
      </c>
      <c r="F28" s="14">
        <f t="shared" si="2"/>
        <v>54473</v>
      </c>
      <c r="G28" s="14">
        <f>IF('lecturer-reader'!V29=0,G27+$F$9,G27)</f>
        <v>16200</v>
      </c>
      <c r="H28" s="14">
        <f t="shared" si="3"/>
        <v>8100</v>
      </c>
      <c r="I28" s="14">
        <f t="shared" si="14"/>
        <v>8505</v>
      </c>
      <c r="J28" s="14">
        <f t="shared" si="5"/>
        <v>32805</v>
      </c>
      <c r="K28" s="14">
        <f t="shared" si="6"/>
        <v>21668</v>
      </c>
      <c r="L28" s="8"/>
      <c r="M28" s="8"/>
      <c r="N28" s="11"/>
      <c r="U28" s="8">
        <f>IF($F$4&gt;=19560,1,IF(OR(AND($F$4&gt;=18300,$F$8="Y",$F$7&gt;1),AND($F$4&gt;=18300,$F$8="N",$F$7=1)),IF('lecturer-reader'!$F$7-'lecturer-reader'!Y27=0,0,1),IF(OR(AND($F$4&gt;=18300,$F$8="N",$F$7&gt;1),AND($F$4&gt;=18300,$F$8="Y",$F$7=1)),IF('lecturer-reader'!$F$7-'lecturer-reader'!W27=0,0,1),IF('lecturer-reader'!$F$7-'lecturer-reader'!X27=0,0,1))))</f>
        <v>1</v>
      </c>
      <c r="V28" s="8">
        <f>IF(AND(U28=0,$F$4&lt;18300),IF(OR(AND($F$4+$F$9=18300,OR('lecturer-reader'!Z27&lt;=13,'lecturer-reader'!Z27&gt;25)),AND($F$4+$F$9*2=18300,'lecturer-reader'!Z27&lt;=25),$F$4+$F$9*2&lt;18300),U28,1),U28)</f>
        <v>1</v>
      </c>
      <c r="W28" s="8">
        <v>2</v>
      </c>
      <c r="X28" s="8">
        <v>2</v>
      </c>
      <c r="Y28" s="18">
        <f t="shared" si="10"/>
        <v>14</v>
      </c>
      <c r="Z28" s="18">
        <f t="shared" si="11"/>
        <v>14</v>
      </c>
    </row>
    <row r="29" spans="1:26" ht="11.25" customHeight="1">
      <c r="A29" s="13">
        <v>39142</v>
      </c>
      <c r="B29" s="14">
        <f t="shared" si="12"/>
        <v>42390</v>
      </c>
      <c r="C29" s="14">
        <f>F5</f>
        <v>9000</v>
      </c>
      <c r="D29" s="14">
        <f t="shared" si="0"/>
        <v>51390</v>
      </c>
      <c r="E29" s="14">
        <f t="shared" si="13"/>
        <v>3083</v>
      </c>
      <c r="F29" s="14">
        <f t="shared" si="2"/>
        <v>54473</v>
      </c>
      <c r="G29" s="14">
        <f>IF('lecturer-reader'!V30=0,G28+$F$9,G28)</f>
        <v>16200</v>
      </c>
      <c r="H29" s="14">
        <f t="shared" si="3"/>
        <v>8100</v>
      </c>
      <c r="I29" s="14">
        <f t="shared" si="14"/>
        <v>8505</v>
      </c>
      <c r="J29" s="14">
        <f t="shared" si="5"/>
        <v>32805</v>
      </c>
      <c r="K29" s="14">
        <f t="shared" si="6"/>
        <v>21668</v>
      </c>
      <c r="L29" s="8"/>
      <c r="M29" s="8"/>
      <c r="N29" s="11"/>
      <c r="U29" s="8">
        <f>IF($F$4&gt;=19560,1,IF(OR(AND($F$4&gt;=18300,$F$8="Y",$F$7&gt;1),AND($F$4&gt;=18300,$F$8="N",$F$7=1)),IF('lecturer-reader'!$F$7-'lecturer-reader'!Y28=0,0,1),IF(OR(AND($F$4&gt;=18300,$F$8="N",$F$7&gt;1),AND($F$4&gt;=18300,$F$8="Y",$F$7=1)),IF('lecturer-reader'!$F$7-'lecturer-reader'!W28=0,0,1),IF('lecturer-reader'!$F$7-'lecturer-reader'!X28=0,0,1))))</f>
        <v>1</v>
      </c>
      <c r="V29" s="8">
        <f>IF(AND(U29=0,$F$4&lt;18300),IF(OR(AND($F$4+$F$9=18300,OR('lecturer-reader'!Z28&lt;=13,'lecturer-reader'!Z28&gt;25)),AND($F$4+$F$9*2=18300,'lecturer-reader'!Z28&lt;=25),$F$4+$F$9*2&lt;18300),U29,1),U29)</f>
        <v>1</v>
      </c>
      <c r="W29" s="8">
        <v>3</v>
      </c>
      <c r="X29" s="8">
        <v>3</v>
      </c>
      <c r="Y29" s="18">
        <f t="shared" si="10"/>
        <v>15</v>
      </c>
      <c r="Z29" s="18">
        <f t="shared" si="11"/>
        <v>15</v>
      </c>
    </row>
    <row r="30" spans="1:26" ht="11.25" customHeight="1">
      <c r="A30" s="13">
        <v>39173</v>
      </c>
      <c r="B30" s="14">
        <f t="shared" si="12"/>
        <v>42390</v>
      </c>
      <c r="C30" s="14">
        <f>F5</f>
        <v>9000</v>
      </c>
      <c r="D30" s="14">
        <f t="shared" si="0"/>
        <v>51390</v>
      </c>
      <c r="E30" s="14">
        <f t="shared" si="13"/>
        <v>3083</v>
      </c>
      <c r="F30" s="14">
        <f t="shared" si="2"/>
        <v>54473</v>
      </c>
      <c r="G30" s="14">
        <f>IF('lecturer-reader'!V31=0,G29+$F$9,G29)</f>
        <v>16200</v>
      </c>
      <c r="H30" s="14">
        <f t="shared" si="3"/>
        <v>8100</v>
      </c>
      <c r="I30" s="14">
        <f t="shared" si="14"/>
        <v>8505</v>
      </c>
      <c r="J30" s="14">
        <f t="shared" si="5"/>
        <v>32805</v>
      </c>
      <c r="K30" s="14">
        <f t="shared" si="6"/>
        <v>21668</v>
      </c>
      <c r="L30" s="8"/>
      <c r="M30" s="8"/>
      <c r="N30" s="11"/>
      <c r="U30" s="8">
        <f>IF($F$4&gt;=19560,1,IF(OR(AND($F$4&gt;=18300,$F$8="Y",$F$7&gt;1),AND($F$4&gt;=18300,$F$8="N",$F$7=1)),IF('lecturer-reader'!$F$7-'lecturer-reader'!Y29=0,0,1),IF(OR(AND($F$4&gt;=18300,$F$8="N",$F$7&gt;1),AND($F$4&gt;=18300,$F$8="Y",$F$7=1)),IF('lecturer-reader'!$F$7-'lecturer-reader'!W29=0,0,1),IF('lecturer-reader'!$F$7-'lecturer-reader'!X29=0,0,1))))</f>
        <v>1</v>
      </c>
      <c r="V30" s="8">
        <f>IF(AND(U30=0,$F$4&lt;18300),IF(OR(AND($F$4+$F$9=18300,OR('lecturer-reader'!Z29&lt;=13,'lecturer-reader'!Z29&gt;25)),AND($F$4+$F$9*2=18300,'lecturer-reader'!Z29&lt;=25),$F$4+$F$9*2&lt;18300),U30,1),U30)</f>
        <v>1</v>
      </c>
      <c r="W30" s="8">
        <v>4</v>
      </c>
      <c r="X30" s="8">
        <v>4</v>
      </c>
      <c r="Y30" s="18">
        <f t="shared" si="10"/>
        <v>16</v>
      </c>
      <c r="Z30" s="18">
        <f t="shared" si="11"/>
        <v>16</v>
      </c>
    </row>
    <row r="31" spans="1:26" ht="11.25" customHeight="1">
      <c r="A31" s="13">
        <v>39203</v>
      </c>
      <c r="B31" s="14">
        <f t="shared" si="12"/>
        <v>42390</v>
      </c>
      <c r="C31" s="14">
        <f>F5</f>
        <v>9000</v>
      </c>
      <c r="D31" s="14">
        <f t="shared" si="0"/>
        <v>51390</v>
      </c>
      <c r="E31" s="14">
        <f t="shared" si="13"/>
        <v>3083</v>
      </c>
      <c r="F31" s="14">
        <f t="shared" si="2"/>
        <v>54473</v>
      </c>
      <c r="G31" s="14">
        <f>IF('lecturer-reader'!V32=0,G30+$F$9,G30)</f>
        <v>16200</v>
      </c>
      <c r="H31" s="14">
        <f t="shared" si="3"/>
        <v>8100</v>
      </c>
      <c r="I31" s="14">
        <f t="shared" si="14"/>
        <v>8505</v>
      </c>
      <c r="J31" s="14">
        <f t="shared" si="5"/>
        <v>32805</v>
      </c>
      <c r="K31" s="14">
        <f t="shared" si="6"/>
        <v>21668</v>
      </c>
      <c r="L31" s="8"/>
      <c r="M31" s="8"/>
      <c r="N31" s="11"/>
      <c r="U31" s="8">
        <f>IF($F$4&gt;=19560,1,IF(OR(AND($F$4&gt;=18300,$F$8="Y",$F$7&gt;1),AND($F$4&gt;=18300,$F$8="N",$F$7=1)),IF('lecturer-reader'!$F$7-'lecturer-reader'!Y30=0,0,1),IF(OR(AND($F$4&gt;=18300,$F$8="N",$F$7&gt;1),AND($F$4&gt;=18300,$F$8="Y",$F$7=1)),IF('lecturer-reader'!$F$7-'lecturer-reader'!W30=0,0,1),IF('lecturer-reader'!$F$7-'lecturer-reader'!X30=0,0,1))))</f>
        <v>1</v>
      </c>
      <c r="V31" s="8">
        <f>IF(AND(U31=0,$F$4&lt;18300),IF(OR(AND($F$4+$F$9=18300,OR('lecturer-reader'!Z30&lt;=13,'lecturer-reader'!Z30&gt;25)),AND($F$4+$F$9*2=18300,'lecturer-reader'!Z30&lt;=25),$F$4+$F$9*2&lt;18300),U31,1),U31)</f>
        <v>1</v>
      </c>
      <c r="W31" s="8">
        <v>5</v>
      </c>
      <c r="X31" s="8">
        <v>5</v>
      </c>
      <c r="Y31" s="18">
        <f t="shared" si="10"/>
        <v>17</v>
      </c>
      <c r="Z31" s="18">
        <f t="shared" si="11"/>
        <v>17</v>
      </c>
    </row>
    <row r="32" spans="1:26" ht="11.25" customHeight="1">
      <c r="A32" s="13">
        <v>39234</v>
      </c>
      <c r="B32" s="14">
        <f t="shared" si="12"/>
        <v>42390</v>
      </c>
      <c r="C32" s="14">
        <f>F5</f>
        <v>9000</v>
      </c>
      <c r="D32" s="14">
        <f t="shared" si="0"/>
        <v>51390</v>
      </c>
      <c r="E32" s="14">
        <f t="shared" si="13"/>
        <v>3083</v>
      </c>
      <c r="F32" s="14">
        <f t="shared" si="2"/>
        <v>54473</v>
      </c>
      <c r="G32" s="14">
        <f>IF('lecturer-reader'!V33=0,G31+$F$9,G31)</f>
        <v>16200</v>
      </c>
      <c r="H32" s="14">
        <f t="shared" si="3"/>
        <v>8100</v>
      </c>
      <c r="I32" s="14">
        <f t="shared" si="14"/>
        <v>8505</v>
      </c>
      <c r="J32" s="14">
        <f t="shared" si="5"/>
        <v>32805</v>
      </c>
      <c r="K32" s="14">
        <f t="shared" si="6"/>
        <v>21668</v>
      </c>
      <c r="L32" s="8"/>
      <c r="M32" s="8"/>
      <c r="N32" s="11"/>
      <c r="U32" s="8">
        <f>IF($F$4&gt;=19560,1,IF(OR(AND($F$4&gt;=18300,$F$8="Y",$F$7&gt;1),AND($F$4&gt;=18300,$F$8="N",$F$7=1)),IF('lecturer-reader'!$F$7-'lecturer-reader'!Y31=0,0,1),IF(OR(AND($F$4&gt;=18300,$F$8="N",$F$7&gt;1),AND($F$4&gt;=18300,$F$8="Y",$F$7=1)),IF('lecturer-reader'!$F$7-'lecturer-reader'!W31=0,0,1),IF('lecturer-reader'!$F$7-'lecturer-reader'!X31=0,0,1))))</f>
        <v>1</v>
      </c>
      <c r="V32" s="8">
        <f>IF(AND(U32=0,$F$4&lt;18300),IF(OR(AND($F$4+$F$9=18300,OR('lecturer-reader'!Z31&lt;=13,'lecturer-reader'!Z31&gt;25)),AND($F$4+$F$9*2=18300,'lecturer-reader'!Z31&lt;=25),$F$4+$F$9*2&lt;18300),U32,1),U32)</f>
        <v>1</v>
      </c>
      <c r="W32" s="8">
        <v>6</v>
      </c>
      <c r="X32" s="8">
        <v>6</v>
      </c>
      <c r="Y32" s="18">
        <f t="shared" si="10"/>
        <v>18</v>
      </c>
      <c r="Z32" s="18">
        <f t="shared" si="11"/>
        <v>18</v>
      </c>
    </row>
    <row r="33" spans="1:26" ht="11.25" customHeight="1">
      <c r="A33" s="13">
        <v>39264</v>
      </c>
      <c r="B33" s="14">
        <f>$B$32+INT((B32+$C32)*3/1000+0.99)*10</f>
        <v>43940</v>
      </c>
      <c r="C33" s="14">
        <f>F5</f>
        <v>9000</v>
      </c>
      <c r="D33" s="14">
        <f t="shared" si="0"/>
        <v>52940</v>
      </c>
      <c r="E33" s="14">
        <f aca="true" t="shared" si="15" ref="E33:E38">INT(D33*$H$7/100+0.5)</f>
        <v>4765</v>
      </c>
      <c r="F33" s="14">
        <f t="shared" si="2"/>
        <v>57705</v>
      </c>
      <c r="G33" s="14">
        <f>IF('lecturer-reader'!V34=0,G32+$F$9,G32)</f>
        <v>16620</v>
      </c>
      <c r="H33" s="14">
        <f t="shared" si="3"/>
        <v>8310</v>
      </c>
      <c r="I33" s="14">
        <f aca="true" t="shared" si="16" ref="I33:I38">INT((G33+H33)*41/100+0.5)</f>
        <v>10221</v>
      </c>
      <c r="J33" s="14">
        <f t="shared" si="5"/>
        <v>35151</v>
      </c>
      <c r="K33" s="14">
        <f t="shared" si="6"/>
        <v>22554</v>
      </c>
      <c r="L33" s="8"/>
      <c r="M33" s="8"/>
      <c r="N33" s="11"/>
      <c r="U33" s="8">
        <f>IF($F$4&gt;=19560,1,IF(OR(AND($F$4&gt;=18300,$F$8="Y",$F$7&gt;1),AND($F$4&gt;=18300,$F$8="N",$F$7=1)),IF('lecturer-reader'!$F$7-'lecturer-reader'!Y32=0,0,1),IF(OR(AND($F$4&gt;=18300,$F$8="N",$F$7&gt;1),AND($F$4&gt;=18300,$F$8="Y",$F$7=1)),IF('lecturer-reader'!$F$7-'lecturer-reader'!W32=0,0,1),IF('lecturer-reader'!$F$7-'lecturer-reader'!X32=0,0,1))))</f>
        <v>1</v>
      </c>
      <c r="V33" s="8">
        <f>IF(AND(U33=0,$F$4&lt;18300),IF(OR(AND($F$4+$F$9=18300,OR('lecturer-reader'!Z32&lt;=13,'lecturer-reader'!Z32&gt;25)),AND($F$4+$F$9*2=18300,'lecturer-reader'!Z32&lt;=25),$F$4+$F$9*2&lt;18300),U33,1),U33)</f>
        <v>1</v>
      </c>
      <c r="W33" s="8">
        <v>7</v>
      </c>
      <c r="X33" s="8">
        <v>7</v>
      </c>
      <c r="Y33" s="18">
        <f t="shared" si="10"/>
        <v>19</v>
      </c>
      <c r="Z33" s="18">
        <f t="shared" si="11"/>
        <v>19</v>
      </c>
    </row>
    <row r="34" spans="1:26" ht="11.25" customHeight="1">
      <c r="A34" s="13">
        <v>39295</v>
      </c>
      <c r="B34" s="14">
        <f aca="true" t="shared" si="17" ref="B34:B44">B33</f>
        <v>43940</v>
      </c>
      <c r="C34" s="14">
        <f>F5</f>
        <v>9000</v>
      </c>
      <c r="D34" s="14">
        <f t="shared" si="0"/>
        <v>52940</v>
      </c>
      <c r="E34" s="14">
        <f t="shared" si="15"/>
        <v>4765</v>
      </c>
      <c r="F34" s="14">
        <f t="shared" si="2"/>
        <v>57705</v>
      </c>
      <c r="G34" s="14">
        <f>IF('lecturer-reader'!V35=0,G33+$F$9,G33)</f>
        <v>16620</v>
      </c>
      <c r="H34" s="14">
        <f t="shared" si="3"/>
        <v>8310</v>
      </c>
      <c r="I34" s="14">
        <f t="shared" si="16"/>
        <v>10221</v>
      </c>
      <c r="J34" s="14">
        <f t="shared" si="5"/>
        <v>35151</v>
      </c>
      <c r="K34" s="14">
        <f t="shared" si="6"/>
        <v>22554</v>
      </c>
      <c r="L34" s="8"/>
      <c r="M34" s="8"/>
      <c r="N34" s="11"/>
      <c r="U34" s="8">
        <f>IF($F$4&gt;=19560,1,IF(OR(AND($F$4&gt;=18300,$F$8="Y",$F$7&gt;1),AND($F$4&gt;=18300,$F$8="N",$F$7=1)),IF('lecturer-reader'!$F$7-'lecturer-reader'!Y33=0,0,1),IF(OR(AND($F$4&gt;=18300,$F$8="N",$F$7&gt;1),AND($F$4&gt;=18300,$F$8="Y",$F$7=1)),IF('lecturer-reader'!$F$7-'lecturer-reader'!W33=0,0,1),IF('lecturer-reader'!$F$7-'lecturer-reader'!X33=0,0,1))))</f>
        <v>0</v>
      </c>
      <c r="V34" s="8">
        <f>IF(AND(U34=0,$F$4&lt;18300),IF(OR(AND($F$4+$F$9=18300,OR('lecturer-reader'!Z33&lt;=13,'lecturer-reader'!Z33&gt;25)),AND($F$4+$F$9*2=18300,'lecturer-reader'!Z33&lt;=25),$F$4+$F$9*2&lt;18300),U34,1),U34)</f>
        <v>0</v>
      </c>
      <c r="W34" s="8">
        <v>8</v>
      </c>
      <c r="X34" s="8">
        <v>8</v>
      </c>
      <c r="Y34" s="18">
        <f t="shared" si="10"/>
        <v>20</v>
      </c>
      <c r="Z34" s="18">
        <f t="shared" si="11"/>
        <v>20</v>
      </c>
    </row>
    <row r="35" spans="1:26" ht="11.25" customHeight="1">
      <c r="A35" s="13">
        <v>39326</v>
      </c>
      <c r="B35" s="14">
        <f t="shared" si="17"/>
        <v>43940</v>
      </c>
      <c r="C35" s="14">
        <f>F5</f>
        <v>9000</v>
      </c>
      <c r="D35" s="14">
        <f t="shared" si="0"/>
        <v>52940</v>
      </c>
      <c r="E35" s="14">
        <f t="shared" si="15"/>
        <v>4765</v>
      </c>
      <c r="F35" s="14">
        <f t="shared" si="2"/>
        <v>57705</v>
      </c>
      <c r="G35" s="14">
        <f>IF('lecturer-reader'!V36=0,G34+$F$9,G34)</f>
        <v>16620</v>
      </c>
      <c r="H35" s="14">
        <f t="shared" si="3"/>
        <v>8310</v>
      </c>
      <c r="I35" s="14">
        <f t="shared" si="16"/>
        <v>10221</v>
      </c>
      <c r="J35" s="14">
        <f t="shared" si="5"/>
        <v>35151</v>
      </c>
      <c r="K35" s="14">
        <f t="shared" si="6"/>
        <v>22554</v>
      </c>
      <c r="L35" s="8"/>
      <c r="M35" s="8"/>
      <c r="N35" s="11"/>
      <c r="U35" s="8">
        <f>IF($F$4&gt;=19560,1,IF(OR(AND($F$4&gt;=18300,$F$8="Y",$F$7&gt;1),AND($F$4&gt;=18300,$F$8="N",$F$7=1)),IF('lecturer-reader'!$F$7-'lecturer-reader'!Y34=0,0,1),IF(OR(AND($F$4&gt;=18300,$F$8="N",$F$7&gt;1),AND($F$4&gt;=18300,$F$8="Y",$F$7=1)),IF('lecturer-reader'!$F$7-'lecturer-reader'!W34=0,0,1),IF('lecturer-reader'!$F$7-'lecturer-reader'!X34=0,0,1))))</f>
        <v>1</v>
      </c>
      <c r="V35" s="8">
        <f>IF(AND(U35=0,$F$4&lt;18300),IF(OR(AND($F$4+$F$9=18300,OR('lecturer-reader'!Z34&lt;=13,'lecturer-reader'!Z34&gt;25)),AND($F$4+$F$9*2=18300,'lecturer-reader'!Z34&lt;=25),$F$4+$F$9*2&lt;18300),U35,1),U35)</f>
        <v>1</v>
      </c>
      <c r="W35" s="8">
        <v>9</v>
      </c>
      <c r="X35" s="8">
        <v>9</v>
      </c>
      <c r="Y35" s="18">
        <f t="shared" si="10"/>
        <v>21</v>
      </c>
      <c r="Z35" s="18">
        <f t="shared" si="11"/>
        <v>21</v>
      </c>
    </row>
    <row r="36" spans="1:26" ht="11.25" customHeight="1">
      <c r="A36" s="13">
        <v>39356</v>
      </c>
      <c r="B36" s="14">
        <f t="shared" si="17"/>
        <v>43940</v>
      </c>
      <c r="C36" s="14">
        <f>F5</f>
        <v>9000</v>
      </c>
      <c r="D36" s="14">
        <f t="shared" si="0"/>
        <v>52940</v>
      </c>
      <c r="E36" s="14">
        <f t="shared" si="15"/>
        <v>4765</v>
      </c>
      <c r="F36" s="14">
        <f t="shared" si="2"/>
        <v>57705</v>
      </c>
      <c r="G36" s="14">
        <f>IF('lecturer-reader'!V37=0,G35+$F$9,G35)</f>
        <v>16620</v>
      </c>
      <c r="H36" s="14">
        <f t="shared" si="3"/>
        <v>8310</v>
      </c>
      <c r="I36" s="14">
        <f t="shared" si="16"/>
        <v>10221</v>
      </c>
      <c r="J36" s="14">
        <f t="shared" si="5"/>
        <v>35151</v>
      </c>
      <c r="K36" s="14">
        <f t="shared" si="6"/>
        <v>22554</v>
      </c>
      <c r="L36" s="8"/>
      <c r="M36" s="8"/>
      <c r="N36" s="11"/>
      <c r="U36" s="8">
        <f>IF($F$4&gt;=19560,1,IF(OR(AND($F$4&gt;=18300,$F$8="Y",$F$7&gt;1),AND($F$4&gt;=18300,$F$8="N",$F$7=1)),IF('lecturer-reader'!$F$7-'lecturer-reader'!Y35=0,0,1),IF(OR(AND($F$4&gt;=18300,$F$8="N",$F$7&gt;1),AND($F$4&gt;=18300,$F$8="Y",$F$7=1)),IF('lecturer-reader'!$F$7-'lecturer-reader'!W35=0,0,1),IF('lecturer-reader'!$F$7-'lecturer-reader'!X35=0,0,1))))</f>
        <v>1</v>
      </c>
      <c r="V36" s="8">
        <f>IF(AND(U36=0,$F$4&lt;18300),IF(OR(AND($F$4+$F$9=18300,OR('lecturer-reader'!Z35&lt;=13,'lecturer-reader'!Z35&gt;25)),AND($F$4+$F$9*2=18300,'lecturer-reader'!Z35&lt;=25),$F$4+$F$9*2&lt;18300),U36,1),U36)</f>
        <v>1</v>
      </c>
      <c r="W36" s="8">
        <v>10</v>
      </c>
      <c r="X36" s="8">
        <v>10</v>
      </c>
      <c r="Y36" s="18">
        <f t="shared" si="10"/>
        <v>22</v>
      </c>
      <c r="Z36" s="18">
        <f t="shared" si="11"/>
        <v>22</v>
      </c>
    </row>
    <row r="37" spans="1:26" ht="11.25" customHeight="1">
      <c r="A37" s="13">
        <v>39387</v>
      </c>
      <c r="B37" s="14">
        <f t="shared" si="17"/>
        <v>43940</v>
      </c>
      <c r="C37" s="14">
        <f>F5</f>
        <v>9000</v>
      </c>
      <c r="D37" s="14">
        <f t="shared" si="0"/>
        <v>52940</v>
      </c>
      <c r="E37" s="14">
        <f t="shared" si="15"/>
        <v>4765</v>
      </c>
      <c r="F37" s="14">
        <f t="shared" si="2"/>
        <v>57705</v>
      </c>
      <c r="G37" s="14">
        <f>IF('lecturer-reader'!V38=0,G36+$F$9,G36)</f>
        <v>16620</v>
      </c>
      <c r="H37" s="14">
        <f t="shared" si="3"/>
        <v>8310</v>
      </c>
      <c r="I37" s="14">
        <f t="shared" si="16"/>
        <v>10221</v>
      </c>
      <c r="J37" s="14">
        <f t="shared" si="5"/>
        <v>35151</v>
      </c>
      <c r="K37" s="14">
        <f t="shared" si="6"/>
        <v>22554</v>
      </c>
      <c r="L37" s="8"/>
      <c r="M37" s="8"/>
      <c r="N37" s="11"/>
      <c r="U37" s="8">
        <f>IF($F$4&gt;=19560,1,IF(OR(AND($F$4&gt;=18300,$F$8="Y",$F$7&gt;1),AND($F$4&gt;=18300,$F$8="N",$F$7=1)),IF('lecturer-reader'!$F$7-'lecturer-reader'!Y36=0,0,1),IF(OR(AND($F$4&gt;=18300,$F$8="N",$F$7&gt;1),AND($F$4&gt;=18300,$F$8="Y",$F$7=1)),IF('lecturer-reader'!$F$7-'lecturer-reader'!W36=0,0,1),IF('lecturer-reader'!$F$7-'lecturer-reader'!X36=0,0,1))))</f>
        <v>1</v>
      </c>
      <c r="V37" s="8">
        <f>IF(AND(U37=0,$F$4&lt;18300),IF(OR(AND($F$4+$F$9=18300,OR('lecturer-reader'!Z36&lt;=13,'lecturer-reader'!Z36&gt;25)),AND($F$4+$F$9*2=18300,'lecturer-reader'!Z36&lt;=25),$F$4+$F$9*2&lt;18300),U37,1),U37)</f>
        <v>1</v>
      </c>
      <c r="W37" s="8">
        <v>11</v>
      </c>
      <c r="X37" s="8">
        <v>11</v>
      </c>
      <c r="Y37" s="18">
        <f t="shared" si="10"/>
        <v>23</v>
      </c>
      <c r="Z37" s="18">
        <f t="shared" si="11"/>
        <v>23</v>
      </c>
    </row>
    <row r="38" spans="1:26" ht="11.25" customHeight="1">
      <c r="A38" s="13">
        <v>39417</v>
      </c>
      <c r="B38" s="14">
        <f t="shared" si="17"/>
        <v>43940</v>
      </c>
      <c r="C38" s="14">
        <f>F5</f>
        <v>9000</v>
      </c>
      <c r="D38" s="14">
        <f t="shared" si="0"/>
        <v>52940</v>
      </c>
      <c r="E38" s="14">
        <f t="shared" si="15"/>
        <v>4765</v>
      </c>
      <c r="F38" s="14">
        <f t="shared" si="2"/>
        <v>57705</v>
      </c>
      <c r="G38" s="14">
        <f>IF('lecturer-reader'!V39=0,G37+$F$9,G37)</f>
        <v>16620</v>
      </c>
      <c r="H38" s="14">
        <f t="shared" si="3"/>
        <v>8310</v>
      </c>
      <c r="I38" s="14">
        <f t="shared" si="16"/>
        <v>10221</v>
      </c>
      <c r="J38" s="14">
        <f t="shared" si="5"/>
        <v>35151</v>
      </c>
      <c r="K38" s="14">
        <f t="shared" si="6"/>
        <v>22554</v>
      </c>
      <c r="L38" s="8"/>
      <c r="M38" s="8"/>
      <c r="N38" s="11"/>
      <c r="U38" s="8">
        <f>IF($F$4&gt;=19560,1,IF(OR(AND($F$4&gt;=18300,$F$8="Y",$F$7&gt;1),AND($F$4&gt;=18300,$F$8="N",$F$7=1)),IF('lecturer-reader'!$F$7-'lecturer-reader'!Y37=0,0,1),IF(OR(AND($F$4&gt;=18300,$F$8="N",$F$7&gt;1),AND($F$4&gt;=18300,$F$8="Y",$F$7=1)),IF('lecturer-reader'!$F$7-'lecturer-reader'!W37=0,0,1),IF('lecturer-reader'!$F$7-'lecturer-reader'!X37=0,0,1))))</f>
        <v>1</v>
      </c>
      <c r="V38" s="8">
        <f>IF(AND(U38=0,$F$4&lt;18300),IF(OR(AND($F$4+$F$9=18300,OR('lecturer-reader'!Z37&lt;=13,'lecturer-reader'!Z37&gt;25)),AND($F$4+$F$9*2=18300,'lecturer-reader'!Z37&lt;=25),$F$4+$F$9*2&lt;18300),U38,1),U38)</f>
        <v>1</v>
      </c>
      <c r="W38" s="8">
        <v>12</v>
      </c>
      <c r="X38" s="8">
        <v>12</v>
      </c>
      <c r="Y38" s="18">
        <f t="shared" si="10"/>
        <v>24</v>
      </c>
      <c r="Z38" s="18">
        <f t="shared" si="11"/>
        <v>24</v>
      </c>
    </row>
    <row r="39" spans="1:26" ht="11.25" customHeight="1">
      <c r="A39" s="13">
        <v>39448</v>
      </c>
      <c r="B39" s="14">
        <f t="shared" si="17"/>
        <v>43940</v>
      </c>
      <c r="C39" s="14">
        <f>F5</f>
        <v>9000</v>
      </c>
      <c r="D39" s="14">
        <f t="shared" si="0"/>
        <v>52940</v>
      </c>
      <c r="E39" s="14">
        <f aca="true" t="shared" si="18" ref="E39:E44">INT(D39*$H$8/100+0.5)</f>
        <v>6353</v>
      </c>
      <c r="F39" s="14">
        <f t="shared" si="2"/>
        <v>59293</v>
      </c>
      <c r="G39" s="14">
        <f>IF('lecturer-reader'!V40=0,G38+$F$9,G38)</f>
        <v>16620</v>
      </c>
      <c r="H39" s="14">
        <f t="shared" si="3"/>
        <v>8310</v>
      </c>
      <c r="I39" s="14">
        <f aca="true" t="shared" si="19" ref="I39:I46">INT((G39+H39)*47/100+0.5)</f>
        <v>11717</v>
      </c>
      <c r="J39" s="14">
        <f t="shared" si="5"/>
        <v>36647</v>
      </c>
      <c r="K39" s="14">
        <f t="shared" si="6"/>
        <v>22646</v>
      </c>
      <c r="L39" s="8"/>
      <c r="M39" s="8"/>
      <c r="N39" s="11"/>
      <c r="U39" s="8">
        <f>IF($F$4&gt;=19560,1,IF(OR(AND($F$4&gt;=18300,$F$8="Y",$F$7&gt;1),AND($F$4&gt;=18300,$F$8="N",$F$7=1)),IF('lecturer-reader'!$F$7-'lecturer-reader'!Y38=0,0,1),IF(OR(AND($F$4&gt;=18300,$F$8="N",$F$7&gt;1),AND($F$4&gt;=18300,$F$8="Y",$F$7=1)),IF('lecturer-reader'!$F$7-'lecturer-reader'!W38=0,0,1),IF('lecturer-reader'!$F$7-'lecturer-reader'!X38=0,0,1))))</f>
        <v>1</v>
      </c>
      <c r="V39" s="8">
        <f>IF(AND(U39=0,$F$4&lt;18300),IF(OR(AND($F$4+$F$9=18300,OR('lecturer-reader'!Z38&lt;=13,'lecturer-reader'!Z38&gt;25)),AND($F$4+$F$9*2=18300,'lecturer-reader'!Z38&lt;=25),$F$4+$F$9*2&lt;18300),U39,1),U39)</f>
        <v>1</v>
      </c>
      <c r="W39" s="8">
        <v>13</v>
      </c>
      <c r="X39" s="8">
        <v>1</v>
      </c>
      <c r="Y39" s="18">
        <v>1</v>
      </c>
      <c r="Z39" s="18">
        <f aca="true" t="shared" si="20" ref="Z39:Z47">Z38+1</f>
        <v>25</v>
      </c>
    </row>
    <row r="40" spans="1:26" ht="11.25" customHeight="1">
      <c r="A40" s="13">
        <v>39479</v>
      </c>
      <c r="B40" s="14">
        <f t="shared" si="17"/>
        <v>43940</v>
      </c>
      <c r="C40" s="14">
        <f>F5</f>
        <v>9000</v>
      </c>
      <c r="D40" s="14">
        <f t="shared" si="0"/>
        <v>52940</v>
      </c>
      <c r="E40" s="14">
        <f t="shared" si="18"/>
        <v>6353</v>
      </c>
      <c r="F40" s="14">
        <f t="shared" si="2"/>
        <v>59293</v>
      </c>
      <c r="G40" s="14">
        <f>IF('lecturer-reader'!V41=0,G39+$F$9,G39)</f>
        <v>16620</v>
      </c>
      <c r="H40" s="14">
        <f t="shared" si="3"/>
        <v>8310</v>
      </c>
      <c r="I40" s="14">
        <f t="shared" si="19"/>
        <v>11717</v>
      </c>
      <c r="J40" s="14">
        <f t="shared" si="5"/>
        <v>36647</v>
      </c>
      <c r="K40" s="14">
        <f t="shared" si="6"/>
        <v>22646</v>
      </c>
      <c r="L40" s="8"/>
      <c r="M40" s="8"/>
      <c r="N40" s="11"/>
      <c r="U40" s="8">
        <f>IF($F$4&gt;=19560,1,IF(OR(AND($F$4&gt;=18300,$F$8="Y",$F$7&gt;1),AND($F$4&gt;=18300,$F$8="N",$F$7=1)),IF('lecturer-reader'!$F$7-'lecturer-reader'!Y39=0,0,1),IF(OR(AND($F$4&gt;=18300,$F$8="N",$F$7&gt;1),AND($F$4&gt;=18300,$F$8="Y",$F$7=1)),IF('lecturer-reader'!$F$7-'lecturer-reader'!W39=0,0,1),IF('lecturer-reader'!$F$7-'lecturer-reader'!X39=0,0,1))))</f>
        <v>1</v>
      </c>
      <c r="V40" s="8">
        <f>IF(AND(U40=0,$F$4&lt;18300),IF(OR(AND($F$4+$F$9=18300,OR('lecturer-reader'!Z39&lt;=13,'lecturer-reader'!Z39&gt;25)),AND($F$4+$F$9*2=18300,'lecturer-reader'!Z39&lt;=25),$F$4+$F$9*2&lt;18300),U40,1),U40)</f>
        <v>1</v>
      </c>
      <c r="W40" s="8">
        <v>14</v>
      </c>
      <c r="X40" s="8">
        <v>2</v>
      </c>
      <c r="Y40" s="18">
        <f>Y39+1</f>
        <v>2</v>
      </c>
      <c r="Z40" s="18">
        <f t="shared" si="20"/>
        <v>26</v>
      </c>
    </row>
    <row r="41" spans="1:26" ht="11.25" customHeight="1">
      <c r="A41" s="13">
        <v>39508</v>
      </c>
      <c r="B41" s="14">
        <f t="shared" si="17"/>
        <v>43940</v>
      </c>
      <c r="C41" s="14">
        <f>F5</f>
        <v>9000</v>
      </c>
      <c r="D41" s="14">
        <f t="shared" si="0"/>
        <v>52940</v>
      </c>
      <c r="E41" s="14">
        <f t="shared" si="18"/>
        <v>6353</v>
      </c>
      <c r="F41" s="14">
        <f t="shared" si="2"/>
        <v>59293</v>
      </c>
      <c r="G41" s="14">
        <f>IF('lecturer-reader'!V42=0,G40+$F$9,G40)</f>
        <v>16620</v>
      </c>
      <c r="H41" s="14">
        <f t="shared" si="3"/>
        <v>8310</v>
      </c>
      <c r="I41" s="14">
        <f t="shared" si="19"/>
        <v>11717</v>
      </c>
      <c r="J41" s="14">
        <f t="shared" si="5"/>
        <v>36647</v>
      </c>
      <c r="K41" s="14">
        <f t="shared" si="6"/>
        <v>22646</v>
      </c>
      <c r="L41" s="8"/>
      <c r="M41" s="8"/>
      <c r="N41" s="11"/>
      <c r="U41" s="8">
        <f>IF($F$4&gt;=19560,1,IF(OR(AND($F$4&gt;=18300,$F$8="Y",$F$7&gt;1),AND($F$4&gt;=18300,$F$8="N",$F$7=1)),IF('lecturer-reader'!$F$7-'lecturer-reader'!Y40=0,0,1),IF(OR(AND($F$4&gt;=18300,$F$8="N",$F$7&gt;1),AND($F$4&gt;=18300,$F$8="Y",$F$7=1)),IF('lecturer-reader'!$F$7-'lecturer-reader'!W40=0,0,1),IF('lecturer-reader'!$F$7-'lecturer-reader'!X40=0,0,1))))</f>
        <v>1</v>
      </c>
      <c r="V41" s="8">
        <f>IF(AND(U41=0,$F$4&lt;18300),IF(OR(AND($F$4+$F$9=18300,OR('lecturer-reader'!Z40&lt;=13,'lecturer-reader'!Z40&gt;25)),AND($F$4+$F$9*2=18300,'lecturer-reader'!Z40&lt;=25),$F$4+$F$9*2&lt;18300),U41,1),U41)</f>
        <v>1</v>
      </c>
      <c r="W41" s="8">
        <v>15</v>
      </c>
      <c r="X41" s="8">
        <v>3</v>
      </c>
      <c r="Y41" s="18">
        <f aca="true" t="shared" si="21" ref="Y41:Y46">Y40+1</f>
        <v>3</v>
      </c>
      <c r="Z41" s="18">
        <f t="shared" si="20"/>
        <v>27</v>
      </c>
    </row>
    <row r="42" spans="1:26" ht="11.25" customHeight="1">
      <c r="A42" s="13">
        <v>39546</v>
      </c>
      <c r="B42" s="14">
        <f t="shared" si="17"/>
        <v>43940</v>
      </c>
      <c r="C42" s="14">
        <f>F5</f>
        <v>9000</v>
      </c>
      <c r="D42" s="14">
        <f t="shared" si="0"/>
        <v>52940</v>
      </c>
      <c r="E42" s="14">
        <f t="shared" si="18"/>
        <v>6353</v>
      </c>
      <c r="F42" s="14">
        <f t="shared" si="2"/>
        <v>59293</v>
      </c>
      <c r="G42" s="14">
        <f>IF('lecturer-reader'!V43=0,G41+$F$9,G41)</f>
        <v>16620</v>
      </c>
      <c r="H42" s="14">
        <f t="shared" si="3"/>
        <v>8310</v>
      </c>
      <c r="I42" s="14">
        <f t="shared" si="19"/>
        <v>11717</v>
      </c>
      <c r="J42" s="14">
        <f t="shared" si="5"/>
        <v>36647</v>
      </c>
      <c r="K42" s="14">
        <f t="shared" si="6"/>
        <v>22646</v>
      </c>
      <c r="L42" s="74"/>
      <c r="M42" s="74"/>
      <c r="N42" s="11"/>
      <c r="U42" s="8">
        <f>IF($F$4&gt;=19560,1,IF(OR(AND($F$4&gt;=18300,$F$8="Y",$F$7&gt;1),AND($F$4&gt;=18300,$F$8="N",$F$7=1)),IF('lecturer-reader'!$F$7-'lecturer-reader'!Y41=0,0,1),IF(OR(AND($F$4&gt;=18300,$F$8="N",$F$7&gt;1),AND($F$4&gt;=18300,$F$8="Y",$F$7=1)),IF('lecturer-reader'!$F$7-'lecturer-reader'!W41=0,0,1),IF('lecturer-reader'!$F$7-'lecturer-reader'!X41=0,0,1))))</f>
        <v>1</v>
      </c>
      <c r="V42" s="8">
        <f>IF(AND(U42=0,$F$4&lt;18300),IF(OR(AND($F$4+$F$9=18300,OR('lecturer-reader'!Z41&lt;=13,'lecturer-reader'!Z41&gt;25)),AND($F$4+$F$9*2=18300,'lecturer-reader'!Z41&lt;=25),$F$4+$F$9*2&lt;18300),U42,1),U42)</f>
        <v>1</v>
      </c>
      <c r="W42" s="8">
        <v>16</v>
      </c>
      <c r="X42" s="8">
        <v>4</v>
      </c>
      <c r="Y42" s="18">
        <f t="shared" si="21"/>
        <v>4</v>
      </c>
      <c r="Z42" s="18">
        <f t="shared" si="20"/>
        <v>28</v>
      </c>
    </row>
    <row r="43" spans="1:26" ht="11.25" customHeight="1">
      <c r="A43" s="13">
        <v>39576</v>
      </c>
      <c r="B43" s="14">
        <f t="shared" si="17"/>
        <v>43940</v>
      </c>
      <c r="C43" s="14">
        <f>F5</f>
        <v>9000</v>
      </c>
      <c r="D43" s="14">
        <f t="shared" si="0"/>
        <v>52940</v>
      </c>
      <c r="E43" s="14">
        <f t="shared" si="18"/>
        <v>6353</v>
      </c>
      <c r="F43" s="14">
        <f t="shared" si="2"/>
        <v>59293</v>
      </c>
      <c r="G43" s="14">
        <f>IF('lecturer-reader'!V44=0,G42+$F$9,G42)</f>
        <v>16620</v>
      </c>
      <c r="H43" s="14">
        <f t="shared" si="3"/>
        <v>8310</v>
      </c>
      <c r="I43" s="14">
        <f t="shared" si="19"/>
        <v>11717</v>
      </c>
      <c r="J43" s="14">
        <f t="shared" si="5"/>
        <v>36647</v>
      </c>
      <c r="K43" s="14">
        <f t="shared" si="6"/>
        <v>22646</v>
      </c>
      <c r="L43" s="8"/>
      <c r="M43" s="8"/>
      <c r="N43" s="11"/>
      <c r="U43" s="8">
        <f>IF($F$4&gt;=19560,1,IF(OR(AND($F$4&gt;=18300,$F$8="Y",$F$7&gt;1),AND($F$4&gt;=18300,$F$8="N",$F$7=1)),IF('lecturer-reader'!$F$7-'lecturer-reader'!Y42=0,0,1),IF(OR(AND($F$4&gt;=18300,$F$8="N",$F$7&gt;1),AND($F$4&gt;=18300,$F$8="Y",$F$7=1)),IF('lecturer-reader'!$F$7-'lecturer-reader'!W42=0,0,1),IF('lecturer-reader'!$F$7-'lecturer-reader'!X42=0,0,1))))</f>
        <v>1</v>
      </c>
      <c r="V43" s="8">
        <f>IF(AND(U43=0,$F$4&lt;18300),IF(OR(AND($F$4+$F$9=18300,OR('lecturer-reader'!Z42&lt;=13,'lecturer-reader'!Z42&gt;25)),AND($F$4+$F$9*2=18300,'lecturer-reader'!Z42&lt;=25),$F$4+$F$9*2&lt;18300),U43,1),U43)</f>
        <v>1</v>
      </c>
      <c r="W43" s="8">
        <v>17</v>
      </c>
      <c r="X43" s="8">
        <v>5</v>
      </c>
      <c r="Y43" s="18">
        <f t="shared" si="21"/>
        <v>5</v>
      </c>
      <c r="Z43" s="18">
        <f t="shared" si="20"/>
        <v>29</v>
      </c>
    </row>
    <row r="44" spans="1:26" ht="11.25" customHeight="1">
      <c r="A44" s="13">
        <v>39607</v>
      </c>
      <c r="B44" s="14">
        <f t="shared" si="17"/>
        <v>43940</v>
      </c>
      <c r="C44" s="14">
        <f>F5</f>
        <v>9000</v>
      </c>
      <c r="D44" s="14">
        <f t="shared" si="0"/>
        <v>52940</v>
      </c>
      <c r="E44" s="14">
        <f t="shared" si="18"/>
        <v>6353</v>
      </c>
      <c r="F44" s="14">
        <f t="shared" si="2"/>
        <v>59293</v>
      </c>
      <c r="G44" s="14">
        <f>IF('lecturer-reader'!V45=0,G43+$F$9,G43)</f>
        <v>16620</v>
      </c>
      <c r="H44" s="14">
        <f t="shared" si="3"/>
        <v>8310</v>
      </c>
      <c r="I44" s="14">
        <f t="shared" si="19"/>
        <v>11717</v>
      </c>
      <c r="J44" s="14">
        <f t="shared" si="5"/>
        <v>36647</v>
      </c>
      <c r="K44" s="14">
        <f t="shared" si="6"/>
        <v>22646</v>
      </c>
      <c r="N44" s="11"/>
      <c r="U44" s="8">
        <f>IF($F$4&gt;=19560,1,IF(OR(AND($F$4&gt;=18300,$F$8="Y",$F$7&gt;1),AND($F$4&gt;=18300,$F$8="N",$F$7=1)),IF('lecturer-reader'!$F$7-'lecturer-reader'!Y43=0,0,1),IF(OR(AND($F$4&gt;=18300,$F$8="N",$F$7&gt;1),AND($F$4&gt;=18300,$F$8="Y",$F$7=1)),IF('lecturer-reader'!$F$7-'lecturer-reader'!W43=0,0,1),IF('lecturer-reader'!$F$7-'lecturer-reader'!X43=0,0,1))))</f>
        <v>1</v>
      </c>
      <c r="V44" s="8">
        <f>IF(AND(U44=0,$F$4&lt;18300),IF(OR(AND($F$4+$F$9=18300,OR('lecturer-reader'!Z43&lt;=13,'lecturer-reader'!Z43&gt;25)),AND($F$4+$F$9*2=18300,'lecturer-reader'!Z43&lt;=25),$F$4+$F$9*2&lt;18300),U44,1),U44)</f>
        <v>1</v>
      </c>
      <c r="W44" s="8">
        <v>18</v>
      </c>
      <c r="X44" s="8">
        <v>6</v>
      </c>
      <c r="Y44" s="18">
        <f t="shared" si="21"/>
        <v>6</v>
      </c>
      <c r="Z44" s="18">
        <f t="shared" si="20"/>
        <v>30</v>
      </c>
    </row>
    <row r="45" spans="1:27" ht="11.25" customHeight="1">
      <c r="A45" s="13">
        <v>39637</v>
      </c>
      <c r="B45" s="14">
        <f>$B$44+INT((B44+$C44)*3/1000+0.99)*10</f>
        <v>45530</v>
      </c>
      <c r="C45" s="14">
        <f>F5</f>
        <v>9000</v>
      </c>
      <c r="D45" s="14">
        <f t="shared" si="0"/>
        <v>54530</v>
      </c>
      <c r="E45" s="14">
        <f>INT(D45*$H$9/100+0.5)</f>
        <v>8725</v>
      </c>
      <c r="F45" s="14">
        <f t="shared" si="2"/>
        <v>63255</v>
      </c>
      <c r="G45" s="14">
        <f>IF('lecturer-reader'!V46=0,G44+$F$9,G44)</f>
        <v>17040</v>
      </c>
      <c r="H45" s="14">
        <f t="shared" si="3"/>
        <v>8520</v>
      </c>
      <c r="I45" s="14">
        <f t="shared" si="19"/>
        <v>12013</v>
      </c>
      <c r="J45" s="14">
        <f t="shared" si="5"/>
        <v>37573</v>
      </c>
      <c r="K45" s="14">
        <f t="shared" si="6"/>
        <v>25682</v>
      </c>
      <c r="N45" s="11"/>
      <c r="U45" s="8">
        <f>IF($F$4&gt;=19560,1,IF(OR(AND($F$4&gt;=18300,$F$8="Y",$F$7&gt;1),AND($F$4&gt;=18300,$F$8="N",$F$7=1)),IF('lecturer-reader'!$F$7-'lecturer-reader'!Y44=0,0,1),IF(OR(AND($F$4&gt;=18300,$F$8="N",$F$7&gt;1),AND($F$4&gt;=18300,$F$8="Y",$F$7=1)),IF('lecturer-reader'!$F$7-'lecturer-reader'!W44=0,0,1),IF('lecturer-reader'!$F$7-'lecturer-reader'!X44=0,0,1))))</f>
        <v>1</v>
      </c>
      <c r="V45" s="8">
        <f>IF(AND(U45=0,$F$4&lt;18300),IF(OR(AND($F$4+$F$9=18300,OR('lecturer-reader'!Z44&lt;=13,'lecturer-reader'!Z44&gt;25)),AND($F$4+$F$9*2=18300,'lecturer-reader'!Z44&lt;=25),$F$4+$F$9*2&lt;18300),U45,1),U45)</f>
        <v>1</v>
      </c>
      <c r="W45" s="8">
        <v>19</v>
      </c>
      <c r="X45" s="8">
        <v>7</v>
      </c>
      <c r="Y45" s="18">
        <f t="shared" si="21"/>
        <v>7</v>
      </c>
      <c r="Z45" s="18">
        <f t="shared" si="20"/>
        <v>31</v>
      </c>
      <c r="AA45" s="18"/>
    </row>
    <row r="46" spans="1:27" ht="11.25" customHeight="1">
      <c r="A46" s="13">
        <v>39668</v>
      </c>
      <c r="B46" s="14">
        <f>B45</f>
        <v>45530</v>
      </c>
      <c r="C46" s="14">
        <f>F5</f>
        <v>9000</v>
      </c>
      <c r="D46" s="14">
        <f t="shared" si="0"/>
        <v>54530</v>
      </c>
      <c r="E46" s="14">
        <f>INT(D46*$H$9/100+0.5)</f>
        <v>8725</v>
      </c>
      <c r="F46" s="14">
        <f t="shared" si="2"/>
        <v>63255</v>
      </c>
      <c r="G46" s="14">
        <f>IF('lecturer-reader'!V47=0,G45+$F$9,G45)</f>
        <v>17040</v>
      </c>
      <c r="H46" s="14">
        <f t="shared" si="3"/>
        <v>8520</v>
      </c>
      <c r="I46" s="14">
        <f t="shared" si="19"/>
        <v>12013</v>
      </c>
      <c r="J46" s="14">
        <f t="shared" si="5"/>
        <v>37573</v>
      </c>
      <c r="K46" s="14">
        <f t="shared" si="6"/>
        <v>25682</v>
      </c>
      <c r="N46" s="11"/>
      <c r="U46" s="8">
        <f>IF($F$4&gt;=19560,1,IF(OR(AND($F$4&gt;=18300,$F$8="Y",$F$7&gt;1),AND($F$4&gt;=18300,$F$8="N",$F$7=1)),IF('lecturer-reader'!$F$7-'lecturer-reader'!Y45=0,0,1),IF(OR(AND($F$4&gt;=18300,$F$8="N",$F$7&gt;1),AND($F$4&gt;=18300,$F$8="Y",$F$7=1)),IF('lecturer-reader'!$F$7-'lecturer-reader'!W45=0,0,1),IF('lecturer-reader'!$F$7-'lecturer-reader'!X45=0,0,1))))</f>
        <v>0</v>
      </c>
      <c r="V46" s="8">
        <f>IF(AND(U46=0,$F$4&lt;18300),IF(OR(AND($F$4+$F$9=18300,OR('lecturer-reader'!Z45&lt;=13,'lecturer-reader'!Z45&gt;25)),AND($F$4+$F$9*2=18300,'lecturer-reader'!Z45&lt;=25),$F$4+$F$9*2&lt;18300),U46,1),U46)</f>
        <v>0</v>
      </c>
      <c r="W46" s="8">
        <v>20</v>
      </c>
      <c r="X46" s="8">
        <v>8</v>
      </c>
      <c r="Y46" s="18">
        <f t="shared" si="21"/>
        <v>8</v>
      </c>
      <c r="Z46" s="18">
        <f t="shared" si="20"/>
        <v>32</v>
      </c>
      <c r="AA46" s="18"/>
    </row>
    <row r="47" spans="1:27" ht="11.25" customHeight="1">
      <c r="A47" s="39" t="s">
        <v>4</v>
      </c>
      <c r="B47" s="27">
        <f aca="true" t="shared" si="22" ref="B47:K47">SUM(B15:B46)</f>
        <v>1372360</v>
      </c>
      <c r="C47" s="27">
        <f t="shared" si="22"/>
        <v>288000</v>
      </c>
      <c r="D47" s="27">
        <f t="shared" si="22"/>
        <v>1660360</v>
      </c>
      <c r="E47" s="27">
        <f t="shared" si="22"/>
        <v>108824</v>
      </c>
      <c r="F47" s="27">
        <f t="shared" si="22"/>
        <v>1769184</v>
      </c>
      <c r="G47" s="27">
        <f t="shared" si="22"/>
        <v>522600</v>
      </c>
      <c r="H47" s="27">
        <f t="shared" si="22"/>
        <v>261300</v>
      </c>
      <c r="I47" s="27">
        <f t="shared" si="22"/>
        <v>283052</v>
      </c>
      <c r="J47" s="27">
        <f t="shared" si="22"/>
        <v>1066952</v>
      </c>
      <c r="K47" s="28">
        <f t="shared" si="22"/>
        <v>702232</v>
      </c>
      <c r="N47" s="11"/>
      <c r="U47" s="8">
        <f>IF($F$4&gt;=19560,1,IF(OR(AND($F$4&gt;=18300,$F$8="Y",$F$7&gt;1),AND($F$4&gt;=18300,$F$8="N",$F$7=1)),IF('lecturer-reader'!$F$7-'lecturer-reader'!Y46=0,0,1),IF(OR(AND($F$4&gt;=18300,$F$8="N",$F$7&gt;1),AND($F$4&gt;=18300,$F$8="Y",$F$7=1)),IF('lecturer-reader'!$F$7-'lecturer-reader'!W46=0,0,1),IF('lecturer-reader'!$F$7-'lecturer-reader'!X46=0,0,1))))</f>
        <v>1</v>
      </c>
      <c r="V47" s="8">
        <f>IF(AND(U47=0,$F$4&lt;18300),IF(OR(AND($F$4+$F$9=18300,OR('lecturer-reader'!Z46&lt;=13,'lecturer-reader'!Z46&gt;25)),AND($F$4+$F$9*2=18300,'lecturer-reader'!Z46&lt;=25),$F$4+$F$9*2&lt;18300),U47,1),U47)</f>
        <v>1</v>
      </c>
      <c r="W47" s="8"/>
      <c r="X47" s="8"/>
      <c r="Y47" s="18"/>
      <c r="Z47" s="18">
        <f t="shared" si="20"/>
        <v>33</v>
      </c>
      <c r="AA47" s="18"/>
    </row>
    <row r="48" spans="1:27" ht="11.25" customHeight="1">
      <c r="A48" s="63" t="s">
        <v>34</v>
      </c>
      <c r="B48" s="63"/>
      <c r="C48" s="63"/>
      <c r="D48" s="63"/>
      <c r="E48" s="63"/>
      <c r="F48" s="63"/>
      <c r="G48" s="63"/>
      <c r="H48" s="63"/>
      <c r="I48" s="64" t="s">
        <v>17</v>
      </c>
      <c r="J48" s="64"/>
      <c r="K48" s="64"/>
      <c r="U48" s="8"/>
      <c r="V48" s="8"/>
      <c r="W48" s="8"/>
      <c r="X48" s="8"/>
      <c r="Y48" s="18"/>
      <c r="AA48" s="18"/>
    </row>
    <row r="49" spans="1:27" ht="11.25" customHeight="1">
      <c r="A49" s="24" t="s">
        <v>0</v>
      </c>
      <c r="B49" s="24" t="s">
        <v>1</v>
      </c>
      <c r="C49" s="24" t="s">
        <v>2</v>
      </c>
      <c r="D49" s="24" t="s">
        <v>3</v>
      </c>
      <c r="E49" s="24" t="s">
        <v>4</v>
      </c>
      <c r="F49" s="24" t="s">
        <v>5</v>
      </c>
      <c r="G49" s="24" t="s">
        <v>6</v>
      </c>
      <c r="H49" s="40" t="s">
        <v>7</v>
      </c>
      <c r="I49" s="62" t="s">
        <v>8</v>
      </c>
      <c r="J49" s="62"/>
      <c r="K49" s="19">
        <f>ROUND(K47*0.4,0)</f>
        <v>280893</v>
      </c>
      <c r="U49" s="8"/>
      <c r="V49" s="8"/>
      <c r="W49" s="8"/>
      <c r="X49" s="8"/>
      <c r="Y49" s="18"/>
      <c r="AA49" s="18"/>
    </row>
    <row r="50" spans="1:27" ht="12.75" customHeight="1">
      <c r="A50" s="41">
        <f>B45</f>
        <v>45530</v>
      </c>
      <c r="B50" s="41">
        <f>C41</f>
        <v>9000</v>
      </c>
      <c r="C50" s="41">
        <f>SUM(A50:B50)</f>
        <v>54530</v>
      </c>
      <c r="D50" s="41">
        <f>INT(C50*$H$9/100+0.5)</f>
        <v>8725</v>
      </c>
      <c r="E50" s="42">
        <f>D50+C50</f>
        <v>63255</v>
      </c>
      <c r="F50" s="43">
        <f>INT(K11*(1+H9/100)+0.5)</f>
        <v>3712</v>
      </c>
      <c r="G50" s="43">
        <f>IF(F11="Y",0,INT(C50*(F6/100)+0.5))</f>
        <v>16359</v>
      </c>
      <c r="H50" s="44">
        <f>E50+F50+G50</f>
        <v>83326</v>
      </c>
      <c r="I50" s="96" t="s">
        <v>16</v>
      </c>
      <c r="J50" s="96"/>
      <c r="K50" s="19">
        <f>K47-K49</f>
        <v>421339</v>
      </c>
      <c r="U50" s="8"/>
      <c r="V50" s="8"/>
      <c r="W50" s="8"/>
      <c r="X50" s="8"/>
      <c r="Y50" s="18"/>
      <c r="Z50" s="18"/>
      <c r="AA50" s="18"/>
    </row>
    <row r="51" spans="1:27" ht="34.5" customHeight="1">
      <c r="A51" s="34"/>
      <c r="B51" s="34"/>
      <c r="C51" s="34"/>
      <c r="D51" s="34"/>
      <c r="E51" s="35"/>
      <c r="F51" s="36"/>
      <c r="G51" s="36"/>
      <c r="H51" s="37"/>
      <c r="I51" s="38"/>
      <c r="J51" s="38"/>
      <c r="K51" s="1"/>
      <c r="U51" s="8"/>
      <c r="V51" s="8"/>
      <c r="W51" s="8"/>
      <c r="X51" s="8"/>
      <c r="Y51" s="18"/>
      <c r="Z51" s="18"/>
      <c r="AA51" s="18"/>
    </row>
    <row r="52" spans="1:27" ht="11.25" customHeight="1">
      <c r="A52" s="94" t="s">
        <v>42</v>
      </c>
      <c r="B52" s="95"/>
      <c r="C52" s="95"/>
      <c r="D52" s="95"/>
      <c r="E52" s="95"/>
      <c r="F52" s="95"/>
      <c r="G52" s="95"/>
      <c r="H52" s="95"/>
      <c r="I52" s="17"/>
      <c r="J52" s="17"/>
      <c r="K52" s="17"/>
      <c r="U52" s="8"/>
      <c r="V52" s="8"/>
      <c r="W52" s="8"/>
      <c r="X52" s="18"/>
      <c r="Y52" s="18"/>
      <c r="Z52" s="18"/>
      <c r="AA52" s="18"/>
    </row>
    <row r="53" spans="1:27" ht="11.25" customHeight="1">
      <c r="A53" s="30"/>
      <c r="B53" s="31" t="s">
        <v>29</v>
      </c>
      <c r="C53" s="31" t="s">
        <v>30</v>
      </c>
      <c r="D53" s="31" t="s">
        <v>3</v>
      </c>
      <c r="E53" s="31" t="s">
        <v>6</v>
      </c>
      <c r="F53" s="31" t="s">
        <v>31</v>
      </c>
      <c r="G53" s="32" t="s">
        <v>35</v>
      </c>
      <c r="H53" s="31" t="s">
        <v>7</v>
      </c>
      <c r="I53" s="31" t="s">
        <v>32</v>
      </c>
      <c r="J53" s="90" t="s">
        <v>40</v>
      </c>
      <c r="K53" s="90"/>
      <c r="U53" s="8"/>
      <c r="V53" s="8"/>
      <c r="W53" s="8"/>
      <c r="X53" s="18"/>
      <c r="Y53" s="18"/>
      <c r="Z53" s="18"/>
      <c r="AA53" s="18"/>
    </row>
    <row r="54" spans="1:27" ht="11.25" customHeight="1">
      <c r="A54" s="33">
        <v>39692</v>
      </c>
      <c r="B54" s="14">
        <f>IF('lecturer-reader'!V55=0,G46+$F$9,G46)</f>
        <v>17040</v>
      </c>
      <c r="C54" s="20">
        <f>B54/2</f>
        <v>8520</v>
      </c>
      <c r="D54" s="20">
        <f>INT((B54+C54)*0.47+0.5)</f>
        <v>12013</v>
      </c>
      <c r="E54" s="16">
        <f>IF($F$11="Y",0,INT((B54+C54)*($F$12/100)+0.5))</f>
        <v>7668</v>
      </c>
      <c r="F54" s="20">
        <f>IF($F$11="Y",300,1100)</f>
        <v>1100</v>
      </c>
      <c r="G54" s="20">
        <f>$F$13+$K$13</f>
        <v>0</v>
      </c>
      <c r="H54" s="20">
        <f>SUM(B54:F54)</f>
        <v>46341</v>
      </c>
      <c r="I54" s="20">
        <f>$H$50-H54</f>
        <v>36985</v>
      </c>
      <c r="J54" s="73">
        <f>I58+K47</f>
        <v>850172</v>
      </c>
      <c r="K54" s="73"/>
      <c r="U54" s="8">
        <f>IF($F$4&gt;=19560,1,IF(OR(AND($F$4&gt;=18300,$F$8="Y",$F$7&gt;1),AND($F$4&gt;=18300,$F$8="N",$F$7=1)),IF('lecturer-reader'!$F$7-'lecturer-reader'!Y46=0,0,1),IF(OR(AND($F$4&gt;=18300,$F$8="N",$F$7&gt;1),AND($F$4&gt;=18300,$F$8="Y",$F$7=1)),IF('lecturer-reader'!$F$7-'lecturer-reader'!W46=0,0,1),IF('lecturer-reader'!$F$7-'lecturer-reader'!X46=0,0,1))))</f>
        <v>1</v>
      </c>
      <c r="V54" s="8">
        <f>IF(AND(U47=0,$F$4&lt;18300),IF(OR(AND($F$4+$F$9=18300,OR('lecturer-reader'!Z46&lt;=13,'lecturer-reader'!Z46&gt;25)),AND($F$4+$F$9*2=18300,'lecturer-reader'!Z46&lt;=25),$F$4+$F$9*2&lt;18300),U47,1),U47)</f>
        <v>1</v>
      </c>
      <c r="W54" s="8">
        <v>21</v>
      </c>
      <c r="X54" s="8">
        <v>9</v>
      </c>
      <c r="Y54" s="18">
        <v>9</v>
      </c>
      <c r="Z54" s="18">
        <v>33</v>
      </c>
      <c r="AA54" s="18"/>
    </row>
    <row r="55" spans="1:27" ht="11.25" customHeight="1">
      <c r="A55" s="33">
        <v>39722</v>
      </c>
      <c r="B55" s="14">
        <f>IF('lecturer-reader'!V56=0,B54+$F$9,B54)</f>
        <v>17040</v>
      </c>
      <c r="C55" s="20">
        <f>B55/2</f>
        <v>8520</v>
      </c>
      <c r="D55" s="20">
        <f>INT((B55+C55)*0.47+0.5)</f>
        <v>12013</v>
      </c>
      <c r="E55" s="16">
        <f>IF($F$11="Y",0,INT((B55+C55)*($F$12/100)+0.5))</f>
        <v>7668</v>
      </c>
      <c r="F55" s="20">
        <f>IF($F$11="Y",300,1100)</f>
        <v>1100</v>
      </c>
      <c r="G55" s="20">
        <f>$F$13+$K$13</f>
        <v>0</v>
      </c>
      <c r="H55" s="20">
        <f>SUM(B55:F55)</f>
        <v>46341</v>
      </c>
      <c r="I55" s="20">
        <f>$H$50-H55</f>
        <v>36985</v>
      </c>
      <c r="U55" s="8">
        <f>IF($F$4&gt;=19560,1,IF(OR(AND($F$4&gt;=18300,$F$8="Y",$F$7&gt;1),AND($F$4&gt;=18300,$F$8="N",$F$7=1)),IF('lecturer-reader'!$F$7-'lecturer-reader'!Y54=0,0,1),IF(OR(AND($F$4&gt;=18300,$F$8="N",$F$7&gt;1),AND($F$4&gt;=18300,$F$8="Y",$F$7=1)),IF('lecturer-reader'!$F$7-'lecturer-reader'!W54=0,0,1),IF('lecturer-reader'!$F$7-'lecturer-reader'!X54=0,0,1))))</f>
        <v>1</v>
      </c>
      <c r="V55" s="8">
        <f>IF(AND(U55=0,$F$4&lt;18300),IF(OR(AND($F$4+$F$9=18300,OR('lecturer-reader'!Z54&lt;=13,'lecturer-reader'!Z54&gt;25)),AND($F$4+$F$9*2=18300,'lecturer-reader'!Z54&lt;=25),$F$4+$F$9*2&lt;18300),U55,1),U55)</f>
        <v>1</v>
      </c>
      <c r="W55" s="8">
        <v>22</v>
      </c>
      <c r="X55" s="8">
        <v>10</v>
      </c>
      <c r="Y55" s="18">
        <v>10</v>
      </c>
      <c r="Z55" s="18">
        <v>34</v>
      </c>
      <c r="AA55" s="18"/>
    </row>
    <row r="56" spans="1:27" ht="11.25" customHeight="1">
      <c r="A56" s="33">
        <v>39753</v>
      </c>
      <c r="B56" s="14">
        <f>IF('lecturer-reader'!V57=0,B55+$F$9,B55)</f>
        <v>17040</v>
      </c>
      <c r="C56" s="20">
        <f>B56/2</f>
        <v>8520</v>
      </c>
      <c r="D56" s="20">
        <f>INT((B56+C56)*0.47+0.5)</f>
        <v>12013</v>
      </c>
      <c r="E56" s="16">
        <f>IF($F$11="Y",0,INT((B56+C56)*($F$12/100)+0.5))</f>
        <v>7668</v>
      </c>
      <c r="F56" s="20">
        <f>IF($F$11="Y",300,1100)</f>
        <v>1100</v>
      </c>
      <c r="G56" s="20">
        <f>$F$13+$K$13</f>
        <v>0</v>
      </c>
      <c r="H56" s="20">
        <f>SUM(B56:F56)</f>
        <v>46341</v>
      </c>
      <c r="I56" s="20">
        <f>$H$50-H56</f>
        <v>36985</v>
      </c>
      <c r="J56" s="91" t="s">
        <v>41</v>
      </c>
      <c r="K56" s="91"/>
      <c r="U56" s="8">
        <f>IF($F$4&gt;=19560,1,IF(OR(AND($F$4&gt;=18300,$F$8="Y",$F$7&gt;1),AND($F$4&gt;=18300,$F$8="N",$F$7=1)),IF('lecturer-reader'!$F$7-'lecturer-reader'!Y55=0,0,1),IF(OR(AND($F$4&gt;=18300,$F$8="N",$F$7&gt;1),AND($F$4&gt;=18300,$F$8="Y",$F$7=1)),IF('lecturer-reader'!$F$7-'lecturer-reader'!W55=0,0,1),IF('lecturer-reader'!$F$7-'lecturer-reader'!X55=0,0,1))))</f>
        <v>1</v>
      </c>
      <c r="V56" s="8">
        <f>IF(AND(U56=0,$F$4&lt;18300),IF(OR(AND($F$4+$F$9=18300,OR('lecturer-reader'!Z55&lt;=13,'lecturer-reader'!Z55&gt;25)),AND($F$4+$F$9*2=18300,'lecturer-reader'!Z55&lt;=25),$F$4+$F$9*2&lt;18300),U56,1),U56)</f>
        <v>1</v>
      </c>
      <c r="W56" s="8">
        <v>23</v>
      </c>
      <c r="X56" s="8">
        <v>11</v>
      </c>
      <c r="Y56" s="18">
        <v>11</v>
      </c>
      <c r="Z56" s="18">
        <v>35</v>
      </c>
      <c r="AA56" s="18"/>
    </row>
    <row r="57" spans="1:27" ht="11.25" customHeight="1">
      <c r="A57" s="33">
        <v>39783</v>
      </c>
      <c r="B57" s="14">
        <f>IF('lecturer-reader'!V58=0,B56+$F$9,B56)</f>
        <v>17040</v>
      </c>
      <c r="C57" s="20">
        <f>B57/2</f>
        <v>8520</v>
      </c>
      <c r="D57" s="20">
        <f>INT((B57+C57)*0.47+0.5)</f>
        <v>12013</v>
      </c>
      <c r="E57" s="16">
        <f>IF($F$11="Y",0,INT((B57+C57)*($F$12/100)+0.5))</f>
        <v>7668</v>
      </c>
      <c r="F57" s="20">
        <f>IF($F$11="Y",300,1100)</f>
        <v>1100</v>
      </c>
      <c r="G57" s="20">
        <f>$F$13+$K$13</f>
        <v>0</v>
      </c>
      <c r="H57" s="20">
        <f>SUM(B57:F57)</f>
        <v>46341</v>
      </c>
      <c r="I57" s="20">
        <f>$H$50-H57</f>
        <v>36985</v>
      </c>
      <c r="J57" s="73">
        <f>I58+K49</f>
        <v>428833</v>
      </c>
      <c r="K57" s="73"/>
      <c r="U57" s="8">
        <f>IF($F$4&gt;=19560,1,IF(OR(AND($F$4&gt;=18300,$F$8="Y",$F$7&gt;1),AND($F$4&gt;=18300,$F$8="N",$F$7=1)),IF('lecturer-reader'!$F$7-'lecturer-reader'!Y56=0,0,1),IF(OR(AND($F$4&gt;=18300,$F$8="N",$F$7&gt;1),AND($F$4&gt;=18300,$F$8="Y",$F$7=1)),IF('lecturer-reader'!$F$7-'lecturer-reader'!W56=0,0,1),IF('lecturer-reader'!$F$7-'lecturer-reader'!X56=0,0,1))))</f>
        <v>1</v>
      </c>
      <c r="V57" s="8">
        <f>IF(AND(U57=0,$F$4&lt;18300),IF(OR(AND($F$4+$F$9=18300,OR('lecturer-reader'!Z56&lt;=13,'lecturer-reader'!Z56&gt;25)),AND($F$4+$F$9*2=18300,'lecturer-reader'!Z56&lt;=25),$F$4+$F$9*2&lt;18300),U57,1),U57)</f>
        <v>1</v>
      </c>
      <c r="W57" s="8">
        <v>24</v>
      </c>
      <c r="X57" s="8">
        <v>12</v>
      </c>
      <c r="Y57" s="18">
        <v>12</v>
      </c>
      <c r="Z57" s="18">
        <v>36</v>
      </c>
      <c r="AA57" s="18"/>
    </row>
    <row r="58" spans="3:27" ht="11.25" customHeight="1">
      <c r="C58" s="26"/>
      <c r="D58" s="26"/>
      <c r="E58" s="26"/>
      <c r="F58" s="26"/>
      <c r="H58" s="25" t="s">
        <v>27</v>
      </c>
      <c r="I58" s="19">
        <f>SUM(I54:I57)</f>
        <v>147940</v>
      </c>
      <c r="U58" s="8">
        <f>IF($F$4&gt;=19560,1,IF(OR(AND($F$4&gt;=18300,$F$8="Y",$F$7&gt;1),AND($F$4&gt;=18300,$F$8="N",$F$7=1)),IF('lecturer-reader'!$F$7-'lecturer-reader'!Y57=0,0,1),IF(OR(AND($F$4&gt;=18300,$F$8="N",$F$7&gt;1),AND($F$4&gt;=18300,$F$8="Y",$F$7=1)),IF('lecturer-reader'!$F$7-'lecturer-reader'!W57=0,0,1),IF('lecturer-reader'!$F$7-'lecturer-reader'!X57=0,0,1))))</f>
        <v>1</v>
      </c>
      <c r="V58" s="8">
        <f>IF(AND(U58=0,$F$4&lt;18300),IF(OR(AND($F$4+$F$9=18300,OR('lecturer-reader'!Z57&lt;=13,'lecturer-reader'!Z57&gt;25)),AND($F$4+$F$9*2=18300,'lecturer-reader'!Z57&lt;=25),$F$4+$F$9*2&lt;18300),U58,1),U58)</f>
        <v>1</v>
      </c>
      <c r="W58" s="8"/>
      <c r="X58" s="8"/>
      <c r="Y58" s="18"/>
      <c r="Z58" s="18">
        <v>37</v>
      </c>
      <c r="AA58" s="18"/>
    </row>
    <row r="59" spans="21:27" ht="11.25" customHeight="1">
      <c r="U59" s="8"/>
      <c r="V59" s="8"/>
      <c r="W59" s="8"/>
      <c r="X59" s="8"/>
      <c r="Y59" s="18"/>
      <c r="Z59" s="18"/>
      <c r="AA59" s="18"/>
    </row>
    <row r="60" spans="21:27" ht="11.25" customHeight="1">
      <c r="U60" s="8"/>
      <c r="V60" s="8"/>
      <c r="W60" s="8"/>
      <c r="X60" s="8"/>
      <c r="Y60" s="18"/>
      <c r="Z60" s="18"/>
      <c r="AA60" s="18"/>
    </row>
    <row r="61" spans="21:27" ht="11.25" customHeight="1">
      <c r="U61" s="8"/>
      <c r="V61" s="8"/>
      <c r="W61" s="8"/>
      <c r="X61" s="8"/>
      <c r="Y61" s="18"/>
      <c r="Z61" s="18"/>
      <c r="AA61" s="18"/>
    </row>
  </sheetData>
  <sheetProtection password="83AF" sheet="1" objects="1" scenarios="1"/>
  <mergeCells count="27">
    <mergeCell ref="A7:E7"/>
    <mergeCell ref="A9:E9"/>
    <mergeCell ref="A8:E8"/>
    <mergeCell ref="A10:E10"/>
    <mergeCell ref="A1:K3"/>
    <mergeCell ref="J57:K57"/>
    <mergeCell ref="J53:K53"/>
    <mergeCell ref="J54:K54"/>
    <mergeCell ref="J56:K56"/>
    <mergeCell ref="A4:E4"/>
    <mergeCell ref="A5:E5"/>
    <mergeCell ref="A6:E6"/>
    <mergeCell ref="A52:H52"/>
    <mergeCell ref="I50:J50"/>
    <mergeCell ref="L42:M42"/>
    <mergeCell ref="G14:J14"/>
    <mergeCell ref="G12:J12"/>
    <mergeCell ref="I4:K9"/>
    <mergeCell ref="G10:J10"/>
    <mergeCell ref="I49:J49"/>
    <mergeCell ref="A48:H48"/>
    <mergeCell ref="I48:K48"/>
    <mergeCell ref="G11:J11"/>
    <mergeCell ref="G13:J13"/>
    <mergeCell ref="A11:E11"/>
    <mergeCell ref="A12:E12"/>
    <mergeCell ref="A13:E13"/>
  </mergeCells>
  <dataValidations count="6">
    <dataValidation type="list" allowBlank="1" showInputMessage="1" showErrorMessage="1" sqref="F5">
      <formula1>"10000, 9000, 8000, 7000, 6000"</formula1>
    </dataValidation>
    <dataValidation type="list" allowBlank="1" showInputMessage="1" showErrorMessage="1" sqref="K11">
      <formula1>"3200, 1600, 800"</formula1>
    </dataValidation>
    <dataValidation type="list" allowBlank="1" showInputMessage="1" showErrorMessage="1" sqref="F8 F10 F11">
      <formula1>"y, n"</formula1>
    </dataValidation>
    <dataValidation type="list" allowBlank="1" showInputMessage="1" showErrorMessage="1" sqref="F9">
      <formula1>"275,325,420,450,500"</formula1>
    </dataValidation>
    <dataValidation type="list" allowBlank="1" showInputMessage="1" showErrorMessage="1" sqref="K12">
      <formula1>"n, y"</formula1>
    </dataValidation>
    <dataValidation type="list" allowBlank="1" showInputMessage="1" showErrorMessage="1" sqref="F7">
      <formula1>"1, 2, 3, 4, 5, 6, 7, 8, 9, 10, 11, 12"</formula1>
    </dataValidation>
  </dataValidations>
  <printOptions/>
  <pageMargins left="0.75" right="0.75" top="1.6666666666666667" bottom="1.6666666666666667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zoomScaleSheetLayoutView="1" workbookViewId="0" topLeftCell="A1">
      <selection activeCell="M41" sqref="M41"/>
      <selection activeCell="A1" sqref="A1:IV16384"/>
      <selection activeCell="A1" sqref="A1"/>
      <selection activeCell="B39" sqref="B39"/>
    </sheetView>
  </sheetViews>
  <sheetFormatPr defaultColWidth="9.140625" defaultRowHeight="12.75"/>
  <cols>
    <col min="1" max="3" width="9.140625" style="2" customWidth="1"/>
    <col min="4" max="4" width="15.7109375" style="2" customWidth="1"/>
    <col min="5" max="6" width="9.140625" style="2" customWidth="1"/>
    <col min="7" max="7" width="17.57421875" style="2" customWidth="1"/>
    <col min="8" max="8" width="15.7109375" style="2" customWidth="1"/>
    <col min="9" max="10" width="9.140625" style="2" customWidth="1"/>
    <col min="11" max="11" width="15.7109375" style="2" customWidth="1"/>
    <col min="12" max="16" width="9.140625" style="2" customWidth="1"/>
  </cols>
  <sheetData>
    <row r="1" spans="1:16" ht="12.75">
      <c r="A1" s="3">
        <v>8000</v>
      </c>
      <c r="B1" s="3">
        <v>15600</v>
      </c>
      <c r="C1" s="3"/>
      <c r="D1"/>
      <c r="E1" s="2">
        <v>13260</v>
      </c>
      <c r="F1" s="3">
        <v>37400</v>
      </c>
      <c r="G1"/>
      <c r="H1"/>
      <c r="I1">
        <v>16400</v>
      </c>
      <c r="J1">
        <v>43390</v>
      </c>
      <c r="K1"/>
      <c r="L1"/>
      <c r="M1"/>
      <c r="N1"/>
      <c r="O1" s="3"/>
      <c r="P1" s="3"/>
    </row>
    <row r="2" spans="1:16" ht="12.75">
      <c r="A2" s="3">
        <v>8275</v>
      </c>
      <c r="B2" s="3">
        <v>15600</v>
      </c>
      <c r="C2" s="3"/>
      <c r="D2"/>
      <c r="E2" s="2">
        <v>13680</v>
      </c>
      <c r="F2" s="3">
        <v>37400</v>
      </c>
      <c r="G2"/>
      <c r="H2"/>
      <c r="I2">
        <f>I1+450</f>
        <v>16850</v>
      </c>
      <c r="J2">
        <v>43390</v>
      </c>
      <c r="K2"/>
      <c r="L2"/>
      <c r="M2"/>
      <c r="N2"/>
      <c r="O2" s="3"/>
      <c r="P2" s="3"/>
    </row>
    <row r="3" spans="1:16" ht="12.75">
      <c r="A3" s="3">
        <v>8550</v>
      </c>
      <c r="B3" s="3">
        <v>15990</v>
      </c>
      <c r="C3" s="3"/>
      <c r="D3"/>
      <c r="E3" s="2">
        <v>14100</v>
      </c>
      <c r="F3" s="3">
        <v>38530</v>
      </c>
      <c r="G3"/>
      <c r="H3"/>
      <c r="I3">
        <f aca="true" t="shared" si="0" ref="I3:I10">I2+450</f>
        <v>17300</v>
      </c>
      <c r="J3">
        <f>INT(J1*1.03/10+0.99)*10</f>
        <v>44700</v>
      </c>
      <c r="K3"/>
      <c r="L3"/>
      <c r="M3"/>
      <c r="N3"/>
      <c r="O3" s="3"/>
      <c r="P3" s="3"/>
    </row>
    <row r="4" spans="1:16" ht="12.75">
      <c r="A4" s="3">
        <v>8825</v>
      </c>
      <c r="B4" s="3">
        <v>16420</v>
      </c>
      <c r="C4" s="3"/>
      <c r="D4"/>
      <c r="E4" s="2">
        <v>14520</v>
      </c>
      <c r="F4" s="3">
        <v>38530</v>
      </c>
      <c r="G4"/>
      <c r="H4"/>
      <c r="I4">
        <f t="shared" si="0"/>
        <v>17750</v>
      </c>
      <c r="J4">
        <f aca="true" t="shared" si="1" ref="J4:J16">INT(J2*1.03/10+0.99)*10</f>
        <v>44700</v>
      </c>
      <c r="K4"/>
      <c r="L4"/>
      <c r="M4"/>
      <c r="N4"/>
      <c r="O4" s="3"/>
      <c r="P4" s="3"/>
    </row>
    <row r="5" spans="1:16" ht="12.75">
      <c r="A5" s="3">
        <v>9000</v>
      </c>
      <c r="B5" s="3">
        <v>16740</v>
      </c>
      <c r="C5" s="3"/>
      <c r="D5"/>
      <c r="E5" s="2">
        <v>14940</v>
      </c>
      <c r="F5" s="3">
        <v>39690</v>
      </c>
      <c r="G5"/>
      <c r="H5"/>
      <c r="I5">
        <f t="shared" si="0"/>
        <v>18200</v>
      </c>
      <c r="J5">
        <f t="shared" si="1"/>
        <v>46050</v>
      </c>
      <c r="K5"/>
      <c r="L5"/>
      <c r="M5"/>
      <c r="N5"/>
      <c r="O5" s="3"/>
      <c r="P5" s="3"/>
    </row>
    <row r="6" spans="1:16" ht="12.75">
      <c r="A6" s="3">
        <v>9000</v>
      </c>
      <c r="B6" s="3">
        <v>16740</v>
      </c>
      <c r="C6" s="3"/>
      <c r="D6"/>
      <c r="E6" s="2">
        <v>15360</v>
      </c>
      <c r="F6" s="3">
        <v>39690</v>
      </c>
      <c r="G6"/>
      <c r="H6"/>
      <c r="I6">
        <f t="shared" si="0"/>
        <v>18650</v>
      </c>
      <c r="J6">
        <f t="shared" si="1"/>
        <v>46050</v>
      </c>
      <c r="K6"/>
      <c r="L6"/>
      <c r="M6"/>
      <c r="N6"/>
      <c r="O6" s="3"/>
      <c r="P6" s="3"/>
    </row>
    <row r="7" spans="1:16" ht="12.75">
      <c r="A7" s="3">
        <v>9100</v>
      </c>
      <c r="B7" s="3">
        <v>16930</v>
      </c>
      <c r="C7" s="3"/>
      <c r="D7"/>
      <c r="E7" s="2">
        <v>15780</v>
      </c>
      <c r="F7" s="3">
        <v>40890</v>
      </c>
      <c r="G7"/>
      <c r="H7"/>
      <c r="I7">
        <f t="shared" si="0"/>
        <v>19100</v>
      </c>
      <c r="J7">
        <f t="shared" si="1"/>
        <v>47440</v>
      </c>
      <c r="K7"/>
      <c r="L7"/>
      <c r="M7"/>
      <c r="N7"/>
      <c r="O7" s="3"/>
      <c r="P7" s="3"/>
    </row>
    <row r="8" spans="1:16" ht="12.75">
      <c r="A8" s="3">
        <v>9275</v>
      </c>
      <c r="B8" s="3">
        <v>17260</v>
      </c>
      <c r="C8" s="3"/>
      <c r="D8"/>
      <c r="E8" s="2">
        <v>16200</v>
      </c>
      <c r="F8" s="3">
        <v>40890</v>
      </c>
      <c r="G8"/>
      <c r="H8"/>
      <c r="I8">
        <f t="shared" si="0"/>
        <v>19550</v>
      </c>
      <c r="J8">
        <f t="shared" si="1"/>
        <v>47440</v>
      </c>
      <c r="K8"/>
      <c r="L8"/>
      <c r="M8"/>
      <c r="N8"/>
      <c r="O8" s="3"/>
      <c r="P8" s="3"/>
    </row>
    <row r="9" spans="1:16" ht="12.75">
      <c r="A9" s="3">
        <v>9375</v>
      </c>
      <c r="B9" s="3">
        <v>17440</v>
      </c>
      <c r="C9" s="3"/>
      <c r="D9"/>
      <c r="E9" s="2">
        <v>16620</v>
      </c>
      <c r="F9" s="3">
        <v>42120</v>
      </c>
      <c r="G9"/>
      <c r="H9"/>
      <c r="I9">
        <f t="shared" si="0"/>
        <v>20000</v>
      </c>
      <c r="J9">
        <f t="shared" si="1"/>
        <v>48870</v>
      </c>
      <c r="K9"/>
      <c r="L9"/>
      <c r="M9"/>
      <c r="N9"/>
      <c r="O9" s="3"/>
      <c r="P9" s="3"/>
    </row>
    <row r="10" spans="1:16" ht="12.75">
      <c r="A10" s="3">
        <v>9550</v>
      </c>
      <c r="B10" s="3">
        <v>17770</v>
      </c>
      <c r="C10" s="3"/>
      <c r="D10"/>
      <c r="E10" s="2">
        <v>17040</v>
      </c>
      <c r="F10" s="3">
        <v>42120</v>
      </c>
      <c r="G10"/>
      <c r="H10"/>
      <c r="I10">
        <f t="shared" si="0"/>
        <v>20450</v>
      </c>
      <c r="J10">
        <f t="shared" si="1"/>
        <v>48870</v>
      </c>
      <c r="K10"/>
      <c r="L10"/>
      <c r="M10"/>
      <c r="N10"/>
      <c r="O10" s="3"/>
      <c r="P10" s="3"/>
    </row>
    <row r="11" spans="1:16" ht="12.75">
      <c r="A11" s="3">
        <v>9650</v>
      </c>
      <c r="B11" s="3">
        <v>17950</v>
      </c>
      <c r="C11" s="3"/>
      <c r="D11"/>
      <c r="E11" s="2">
        <v>17460</v>
      </c>
      <c r="F11" s="3">
        <v>43390</v>
      </c>
      <c r="G11"/>
      <c r="H11"/>
      <c r="I11">
        <f>I10+450</f>
        <v>20900</v>
      </c>
      <c r="J11">
        <f t="shared" si="1"/>
        <v>50340</v>
      </c>
      <c r="K11"/>
      <c r="L11"/>
      <c r="M11"/>
      <c r="N11"/>
      <c r="O11" s="3"/>
      <c r="P11" s="3"/>
    </row>
    <row r="12" spans="1:16" ht="12.75">
      <c r="A12" s="3">
        <v>9925</v>
      </c>
      <c r="B12" s="3">
        <v>18470</v>
      </c>
      <c r="C12" s="3"/>
      <c r="D12"/>
      <c r="E12" s="2">
        <v>17880</v>
      </c>
      <c r="F12" s="3">
        <v>43390</v>
      </c>
      <c r="G12"/>
      <c r="H12"/>
      <c r="I12">
        <f>I11+500</f>
        <v>21400</v>
      </c>
      <c r="J12">
        <f t="shared" si="1"/>
        <v>50340</v>
      </c>
      <c r="K12"/>
      <c r="L12"/>
      <c r="M12"/>
      <c r="N12"/>
      <c r="O12" s="3"/>
      <c r="P12" s="3"/>
    </row>
    <row r="13" spans="1:16" ht="12.75">
      <c r="A13" s="3">
        <v>10000</v>
      </c>
      <c r="B13" s="3">
        <v>18600</v>
      </c>
      <c r="C13" s="3"/>
      <c r="D13"/>
      <c r="E13" s="2">
        <v>18300</v>
      </c>
      <c r="F13" s="3">
        <v>44700</v>
      </c>
      <c r="G13"/>
      <c r="H13"/>
      <c r="I13">
        <f>I12+500</f>
        <v>21900</v>
      </c>
      <c r="J13">
        <f t="shared" si="1"/>
        <v>51860</v>
      </c>
      <c r="K13"/>
      <c r="L13"/>
      <c r="M13"/>
      <c r="N13"/>
      <c r="O13" s="3"/>
      <c r="P13" s="3"/>
    </row>
    <row r="14" spans="1:16" ht="12.75">
      <c r="A14" s="3">
        <v>10200</v>
      </c>
      <c r="B14" s="3">
        <v>18980</v>
      </c>
      <c r="C14" s="3"/>
      <c r="D14"/>
      <c r="E14" s="2">
        <v>18720</v>
      </c>
      <c r="F14" s="3">
        <v>44700</v>
      </c>
      <c r="G14"/>
      <c r="H14"/>
      <c r="I14">
        <f>I13+500</f>
        <v>22400</v>
      </c>
      <c r="J14">
        <f t="shared" si="1"/>
        <v>51860</v>
      </c>
      <c r="K14"/>
      <c r="L14"/>
      <c r="M14"/>
      <c r="N14"/>
      <c r="O14" s="3"/>
      <c r="P14" s="3"/>
    </row>
    <row r="15" spans="1:16" ht="12.75">
      <c r="A15" s="3">
        <v>10325</v>
      </c>
      <c r="B15" s="3">
        <v>19210</v>
      </c>
      <c r="C15" s="3"/>
      <c r="D15"/>
      <c r="E15" s="2">
        <v>19140</v>
      </c>
      <c r="F15" s="3">
        <v>46050</v>
      </c>
      <c r="G15"/>
      <c r="H15"/>
      <c r="I15">
        <f>I14+500</f>
        <v>22900</v>
      </c>
      <c r="J15">
        <f t="shared" si="1"/>
        <v>53420</v>
      </c>
      <c r="K15"/>
      <c r="L15"/>
      <c r="M15"/>
      <c r="N15"/>
      <c r="O15" s="3"/>
      <c r="P15" s="3"/>
    </row>
    <row r="16" spans="1:16" ht="12.75">
      <c r="A16" s="3">
        <v>10325</v>
      </c>
      <c r="B16" s="3">
        <v>19210</v>
      </c>
      <c r="C16" s="3"/>
      <c r="D16"/>
      <c r="E16" s="2">
        <v>19560</v>
      </c>
      <c r="F16" s="3">
        <v>46050</v>
      </c>
      <c r="G16"/>
      <c r="H16"/>
      <c r="I16">
        <f>I15+500</f>
        <v>23400</v>
      </c>
      <c r="J16">
        <f t="shared" si="1"/>
        <v>53420</v>
      </c>
      <c r="K16"/>
      <c r="L16"/>
      <c r="M16"/>
      <c r="N16"/>
      <c r="O16" s="3"/>
      <c r="P16" s="3"/>
    </row>
    <row r="17" spans="1:16" ht="12.75">
      <c r="A17" s="3">
        <v>10475</v>
      </c>
      <c r="B17" s="3">
        <v>19490</v>
      </c>
      <c r="C17" s="3"/>
      <c r="D17"/>
      <c r="G17"/>
      <c r="H17"/>
      <c r="K17"/>
      <c r="L17"/>
      <c r="M17"/>
      <c r="N17"/>
      <c r="O17" s="3"/>
      <c r="P17" s="3"/>
    </row>
    <row r="18" spans="1:16" ht="12.75">
      <c r="A18" s="3">
        <v>10650</v>
      </c>
      <c r="B18" s="3">
        <v>19810</v>
      </c>
      <c r="C18" s="3"/>
      <c r="D18"/>
      <c r="G18"/>
      <c r="H18"/>
      <c r="K18"/>
      <c r="L18"/>
      <c r="M18"/>
      <c r="N18"/>
      <c r="O18" s="3"/>
      <c r="P18" s="3"/>
    </row>
    <row r="19" spans="1:16" ht="12.75">
      <c r="A19" s="3">
        <v>10650</v>
      </c>
      <c r="B19" s="3">
        <v>19810</v>
      </c>
      <c r="C19" s="3"/>
      <c r="D19"/>
      <c r="G19"/>
      <c r="H19"/>
      <c r="K19"/>
      <c r="L19"/>
      <c r="M19"/>
      <c r="N19"/>
      <c r="O19" s="3"/>
      <c r="P19" s="3"/>
    </row>
    <row r="20" spans="1:16" ht="12.75">
      <c r="A20" s="3">
        <v>10650</v>
      </c>
      <c r="B20" s="3">
        <v>19810</v>
      </c>
      <c r="C20" s="3"/>
      <c r="D20"/>
      <c r="G20"/>
      <c r="H20"/>
      <c r="K20"/>
      <c r="L20"/>
      <c r="M20"/>
      <c r="N20"/>
      <c r="O20" s="3"/>
      <c r="P20" s="3"/>
    </row>
    <row r="21" spans="1:16" ht="12.75">
      <c r="A21" s="3">
        <v>10750</v>
      </c>
      <c r="B21" s="3">
        <v>20000</v>
      </c>
      <c r="C21" s="3"/>
      <c r="D21"/>
      <c r="G21"/>
      <c r="H21"/>
      <c r="K21"/>
      <c r="L21"/>
      <c r="M21"/>
      <c r="N21"/>
      <c r="O21" s="3"/>
      <c r="P21" s="3"/>
    </row>
    <row r="22" spans="1:16" ht="12.75">
      <c r="A22" s="3">
        <v>10975</v>
      </c>
      <c r="B22" s="3">
        <v>20420</v>
      </c>
      <c r="C22" s="3"/>
      <c r="D22"/>
      <c r="G22"/>
      <c r="H22"/>
      <c r="K22"/>
      <c r="L22"/>
      <c r="M22"/>
      <c r="N22"/>
      <c r="O22" s="3"/>
      <c r="P22" s="3"/>
    </row>
    <row r="23" spans="1:16" ht="12.75">
      <c r="A23" s="3">
        <v>10975</v>
      </c>
      <c r="B23" s="3">
        <v>20420</v>
      </c>
      <c r="C23" s="3"/>
      <c r="D23"/>
      <c r="G23"/>
      <c r="H23"/>
      <c r="K23"/>
      <c r="L23"/>
      <c r="M23"/>
      <c r="N23"/>
      <c r="O23" s="3"/>
      <c r="P23" s="3"/>
    </row>
    <row r="24" spans="1:16" ht="12.75">
      <c r="A24" s="3">
        <v>10975</v>
      </c>
      <c r="B24" s="3">
        <v>20420</v>
      </c>
      <c r="C24" s="3"/>
      <c r="D24"/>
      <c r="G24"/>
      <c r="H24"/>
      <c r="K24"/>
      <c r="L24"/>
      <c r="M24"/>
      <c r="N24"/>
      <c r="O24" s="3"/>
      <c r="P24" s="3"/>
    </row>
    <row r="25" spans="1:16" ht="12.75">
      <c r="A25" s="3">
        <v>11025</v>
      </c>
      <c r="B25" s="3">
        <v>20510</v>
      </c>
      <c r="C25" s="3"/>
      <c r="D25"/>
      <c r="E25"/>
      <c r="F25"/>
      <c r="G25"/>
      <c r="H25"/>
      <c r="I25"/>
      <c r="J25"/>
      <c r="K25"/>
      <c r="L25"/>
      <c r="M25"/>
      <c r="N25"/>
      <c r="O25" s="3"/>
      <c r="P25" s="3"/>
    </row>
    <row r="26" spans="1:16" ht="12.75">
      <c r="A26" s="3">
        <v>11300</v>
      </c>
      <c r="B26" s="3">
        <v>21020</v>
      </c>
      <c r="C26" s="3"/>
      <c r="D26"/>
      <c r="E26"/>
      <c r="F26"/>
      <c r="G26"/>
      <c r="H26"/>
      <c r="I26"/>
      <c r="J26"/>
      <c r="K26"/>
      <c r="L26"/>
      <c r="M26"/>
      <c r="N26"/>
      <c r="O26" s="3"/>
      <c r="P26" s="3"/>
    </row>
    <row r="27" spans="1:16" ht="12.75">
      <c r="A27" s="3">
        <v>11300</v>
      </c>
      <c r="B27" s="3">
        <v>21020</v>
      </c>
      <c r="C27" s="3"/>
      <c r="D27"/>
      <c r="E27"/>
      <c r="F27"/>
      <c r="G27"/>
      <c r="H27"/>
      <c r="I27"/>
      <c r="J27"/>
      <c r="K27"/>
      <c r="L27"/>
      <c r="M27"/>
      <c r="N27"/>
      <c r="O27" s="3"/>
      <c r="P27" s="3"/>
    </row>
    <row r="28" spans="1:16" ht="12.75">
      <c r="A28" s="3">
        <v>11300</v>
      </c>
      <c r="B28" s="3">
        <v>21020</v>
      </c>
      <c r="C28" s="3"/>
      <c r="D28"/>
      <c r="E28"/>
      <c r="F28"/>
      <c r="G28"/>
      <c r="H28"/>
      <c r="I28"/>
      <c r="J28"/>
      <c r="K28"/>
      <c r="L28"/>
      <c r="M28"/>
      <c r="N28"/>
      <c r="O28" s="3"/>
      <c r="P28" s="3"/>
    </row>
    <row r="29" spans="1:16" ht="12.75">
      <c r="A29" s="3">
        <v>11575</v>
      </c>
      <c r="B29" s="3">
        <v>21530</v>
      </c>
      <c r="C29" s="3"/>
      <c r="D29"/>
      <c r="E29"/>
      <c r="F29"/>
      <c r="G29"/>
      <c r="H29"/>
      <c r="I29"/>
      <c r="J29"/>
      <c r="K29"/>
      <c r="L29"/>
      <c r="M29"/>
      <c r="N29"/>
      <c r="O29" s="3"/>
      <c r="P29" s="3"/>
    </row>
    <row r="30" spans="1:16" ht="12.75">
      <c r="A30" s="3">
        <v>11625</v>
      </c>
      <c r="B30" s="3">
        <v>21630</v>
      </c>
      <c r="C30" s="3"/>
      <c r="D30"/>
      <c r="E30"/>
      <c r="F30"/>
      <c r="G30"/>
      <c r="H30"/>
      <c r="I30"/>
      <c r="J30"/>
      <c r="K30"/>
      <c r="L30"/>
      <c r="M30"/>
      <c r="N30"/>
      <c r="O30" s="3"/>
      <c r="P30" s="3"/>
    </row>
    <row r="31" spans="1:16" ht="12.75">
      <c r="A31" s="3">
        <v>11625</v>
      </c>
      <c r="B31" s="3">
        <v>21630</v>
      </c>
      <c r="C31" s="3"/>
      <c r="O31" s="3"/>
      <c r="P31" s="3"/>
    </row>
    <row r="32" spans="1:16" ht="12.75">
      <c r="A32" s="3">
        <v>11850</v>
      </c>
      <c r="B32" s="3">
        <v>22050</v>
      </c>
      <c r="C32" s="3"/>
      <c r="O32" s="3"/>
      <c r="P32" s="3"/>
    </row>
    <row r="33" spans="1:16" ht="12.75">
      <c r="A33" s="3">
        <v>11950</v>
      </c>
      <c r="B33" s="3">
        <v>22230</v>
      </c>
      <c r="C33" s="3"/>
      <c r="O33" s="3"/>
      <c r="P33" s="3"/>
    </row>
    <row r="34" spans="1:16" ht="12.75">
      <c r="A34" s="3">
        <v>11950</v>
      </c>
      <c r="B34" s="3">
        <v>22230</v>
      </c>
      <c r="C34" s="3"/>
      <c r="O34" s="3"/>
      <c r="P34" s="3"/>
    </row>
    <row r="35" spans="1:16" ht="12.75">
      <c r="A35" s="3">
        <v>12000</v>
      </c>
      <c r="B35" s="3">
        <v>22320</v>
      </c>
      <c r="C35" s="3"/>
      <c r="O35" s="3"/>
      <c r="P35" s="3"/>
    </row>
    <row r="36" spans="1:16" ht="12.75">
      <c r="A36" s="3">
        <v>12000</v>
      </c>
      <c r="B36" s="3">
        <v>22320</v>
      </c>
      <c r="C36" s="3"/>
      <c r="O36" s="3"/>
      <c r="P36" s="3"/>
    </row>
    <row r="37" spans="1:16" ht="12.75">
      <c r="A37" s="3">
        <v>12125</v>
      </c>
      <c r="B37" s="3">
        <v>22560</v>
      </c>
      <c r="C37" s="3"/>
      <c r="O37" s="3"/>
      <c r="P37" s="3"/>
    </row>
    <row r="38" spans="1:16" ht="12.75">
      <c r="A38" s="3">
        <v>12275</v>
      </c>
      <c r="B38" s="3">
        <v>22840</v>
      </c>
      <c r="C38" s="3"/>
      <c r="O38" s="3"/>
      <c r="P38" s="3"/>
    </row>
    <row r="39" spans="1:16" ht="12.75">
      <c r="A39" s="3">
        <v>12275</v>
      </c>
      <c r="B39" s="3">
        <v>22840</v>
      </c>
      <c r="C39" s="3"/>
      <c r="O39" s="3"/>
      <c r="P39" s="3"/>
    </row>
    <row r="40" spans="1:16" ht="12.75">
      <c r="A40" s="3">
        <v>12375</v>
      </c>
      <c r="B40" s="3">
        <v>23020</v>
      </c>
      <c r="C40" s="3"/>
      <c r="O40" s="3"/>
      <c r="P40" s="3"/>
    </row>
    <row r="41" spans="1:16" ht="12.75">
      <c r="A41" s="3">
        <v>12375</v>
      </c>
      <c r="B41" s="3">
        <v>23020</v>
      </c>
      <c r="C41" s="3"/>
      <c r="O41" s="3"/>
      <c r="P41" s="3"/>
    </row>
    <row r="42" spans="1:16" ht="12.75">
      <c r="A42" s="3">
        <v>12400</v>
      </c>
      <c r="B42" s="3">
        <v>23070</v>
      </c>
      <c r="C42" s="3"/>
      <c r="O42" s="3"/>
      <c r="P42" s="3"/>
    </row>
    <row r="43" spans="1:16" ht="12.75">
      <c r="A43" s="3">
        <v>12420</v>
      </c>
      <c r="B43" s="3">
        <f>INT(A43*1.86/10+0.99)*10</f>
        <v>23110</v>
      </c>
      <c r="C43" s="3"/>
      <c r="O43" s="3"/>
      <c r="P43" s="3"/>
    </row>
    <row r="44" spans="1:16" ht="12.75">
      <c r="A44" s="3">
        <v>12600</v>
      </c>
      <c r="B44" s="3">
        <v>23440</v>
      </c>
      <c r="C44" s="3"/>
      <c r="O44" s="3"/>
      <c r="P44" s="3"/>
    </row>
    <row r="45" spans="1:16" ht="12.75">
      <c r="A45" s="3">
        <v>12600</v>
      </c>
      <c r="B45" s="3">
        <v>23440</v>
      </c>
      <c r="C45" s="3"/>
      <c r="O45" s="3"/>
      <c r="P45" s="3"/>
    </row>
    <row r="46" spans="1:16" ht="12.75">
      <c r="A46" s="3">
        <v>12675</v>
      </c>
      <c r="B46" s="3">
        <v>23580</v>
      </c>
      <c r="C46" s="3"/>
      <c r="O46" s="3"/>
      <c r="P46" s="3"/>
    </row>
    <row r="47" spans="1:16" ht="12.75">
      <c r="A47" s="3">
        <v>12750</v>
      </c>
      <c r="B47" s="3">
        <v>23720</v>
      </c>
      <c r="C47" s="3"/>
      <c r="O47" s="3"/>
      <c r="P47" s="3"/>
    </row>
    <row r="48" spans="1:16" ht="12.75">
      <c r="A48" s="3">
        <v>12750</v>
      </c>
      <c r="B48" s="3">
        <v>23720</v>
      </c>
      <c r="C48" s="3"/>
      <c r="O48" s="3"/>
      <c r="P48" s="3"/>
    </row>
    <row r="49" spans="1:16" ht="12.75">
      <c r="A49" s="3">
        <v>12750</v>
      </c>
      <c r="B49" s="3">
        <v>23720</v>
      </c>
      <c r="C49" s="3"/>
      <c r="O49"/>
      <c r="P49"/>
    </row>
    <row r="50" spans="1:16" ht="12.75">
      <c r="A50" s="3">
        <v>12840</v>
      </c>
      <c r="B50" s="3">
        <f>INT(A50*1.86/10+0.99)*10</f>
        <v>23890</v>
      </c>
      <c r="C50" s="3"/>
      <c r="F50" s="3"/>
      <c r="O50"/>
      <c r="P50"/>
    </row>
    <row r="51" spans="1:16" ht="12.75">
      <c r="A51" s="3">
        <v>12925</v>
      </c>
      <c r="B51" s="3">
        <v>24050</v>
      </c>
      <c r="C51" s="3"/>
      <c r="O51"/>
      <c r="P51"/>
    </row>
    <row r="52" spans="1:16" ht="12.75">
      <c r="A52" s="3">
        <v>12925</v>
      </c>
      <c r="B52" s="3">
        <v>24050</v>
      </c>
      <c r="C52" s="3"/>
      <c r="O52"/>
      <c r="P52"/>
    </row>
    <row r="53" spans="1:3" ht="12.75">
      <c r="A53" s="3">
        <v>12950</v>
      </c>
      <c r="B53" s="3">
        <v>24090</v>
      </c>
      <c r="C53" s="3"/>
    </row>
    <row r="54" spans="1:3" ht="12.75">
      <c r="A54" s="3">
        <v>13125</v>
      </c>
      <c r="B54" s="3">
        <v>24420</v>
      </c>
      <c r="C54" s="3"/>
    </row>
    <row r="55" spans="1:3" ht="12.75">
      <c r="A55" s="3">
        <v>13125</v>
      </c>
      <c r="B55" s="3">
        <v>24420</v>
      </c>
      <c r="C55" s="3"/>
    </row>
    <row r="56" spans="1:3" ht="12.75">
      <c r="A56" s="3">
        <v>13125</v>
      </c>
      <c r="B56" s="3">
        <v>24420</v>
      </c>
      <c r="C56" s="3"/>
    </row>
    <row r="57" spans="1:3" ht="12.75">
      <c r="A57" s="3">
        <v>13225</v>
      </c>
      <c r="B57" s="3">
        <v>24600</v>
      </c>
      <c r="C57" s="3"/>
    </row>
    <row r="58" spans="1:3" ht="12.75">
      <c r="A58" s="3">
        <v>13250</v>
      </c>
      <c r="B58" s="3">
        <v>24650</v>
      </c>
      <c r="C58" s="3"/>
    </row>
    <row r="59" spans="1:3" ht="12.75">
      <c r="A59" s="3">
        <v>13250</v>
      </c>
      <c r="B59" s="3">
        <v>24650</v>
      </c>
      <c r="C59" s="3"/>
    </row>
    <row r="60" spans="1:3" ht="12.75">
      <c r="A60" s="3">
        <v>13260</v>
      </c>
      <c r="B60" s="3">
        <f>INT(A60*1.86/10+0.99)*10</f>
        <v>24670</v>
      </c>
      <c r="C60" s="3"/>
    </row>
    <row r="61" spans="1:3" ht="12.75">
      <c r="A61" s="3">
        <v>13500</v>
      </c>
      <c r="B61" s="3">
        <v>25110</v>
      </c>
      <c r="C61" s="3"/>
    </row>
    <row r="62" spans="1:3" ht="12.75">
      <c r="A62" s="3">
        <v>13500</v>
      </c>
      <c r="B62" s="3">
        <v>25110</v>
      </c>
      <c r="C62" s="3"/>
    </row>
    <row r="63" spans="1:3" ht="12.75">
      <c r="A63" s="3">
        <v>13500</v>
      </c>
      <c r="B63" s="3">
        <v>25110</v>
      </c>
      <c r="C63" s="3"/>
    </row>
    <row r="64" spans="1:3" ht="12.75">
      <c r="A64" s="3">
        <v>13500</v>
      </c>
      <c r="B64" s="3">
        <v>25110</v>
      </c>
      <c r="C64" s="3"/>
    </row>
    <row r="65" spans="1:3" ht="12.75">
      <c r="A65" s="3">
        <v>13575</v>
      </c>
      <c r="B65" s="3">
        <v>25250</v>
      </c>
      <c r="C65" s="3"/>
    </row>
    <row r="66" spans="1:3" ht="12.75">
      <c r="A66" s="3">
        <v>13575</v>
      </c>
      <c r="B66" s="3">
        <v>25250</v>
      </c>
      <c r="C66" s="3"/>
    </row>
    <row r="67" spans="1:3" ht="12.75">
      <c r="A67" s="3">
        <v>13680</v>
      </c>
      <c r="B67" s="3">
        <f>INT(A67*1.86/10+0.99)*10</f>
        <v>25450</v>
      </c>
      <c r="C67" s="3"/>
    </row>
    <row r="68" spans="1:3" ht="12.75">
      <c r="A68" s="3">
        <v>13875</v>
      </c>
      <c r="B68" s="3">
        <v>25810</v>
      </c>
      <c r="C68" s="3"/>
    </row>
    <row r="69" spans="1:3" ht="12.75">
      <c r="A69" s="3">
        <v>13875</v>
      </c>
      <c r="B69" s="3">
        <v>25810</v>
      </c>
      <c r="C69" s="3"/>
    </row>
    <row r="70" spans="1:3" ht="12.75">
      <c r="A70" s="3">
        <v>13875</v>
      </c>
      <c r="B70" s="3">
        <v>25810</v>
      </c>
      <c r="C70" s="3"/>
    </row>
    <row r="71" spans="1:3" ht="12.75">
      <c r="A71" s="3">
        <v>13900</v>
      </c>
      <c r="B71" s="3">
        <v>25860</v>
      </c>
      <c r="C71" s="3"/>
    </row>
    <row r="72" spans="1:3" ht="12.75">
      <c r="A72" s="3">
        <v>13900</v>
      </c>
      <c r="B72" s="3">
        <v>25860</v>
      </c>
      <c r="C72" s="3"/>
    </row>
    <row r="73" spans="1:3" ht="12.75">
      <c r="A73" s="3">
        <v>14100</v>
      </c>
      <c r="B73" s="3">
        <f>INT(A73*1.86/10+0.99)*10</f>
        <v>26230</v>
      </c>
      <c r="C73" s="3"/>
    </row>
    <row r="74" spans="1:3" ht="12.75">
      <c r="A74" s="3">
        <v>14225</v>
      </c>
      <c r="B74" s="3">
        <v>26460</v>
      </c>
      <c r="C74" s="3"/>
    </row>
    <row r="75" spans="1:3" ht="12.75">
      <c r="A75" s="3">
        <v>14225</v>
      </c>
      <c r="B75" s="3">
        <v>26460</v>
      </c>
      <c r="C75" s="3"/>
    </row>
    <row r="76" spans="1:3" ht="12.75">
      <c r="A76" s="3">
        <v>14250</v>
      </c>
      <c r="B76" s="3">
        <v>26510</v>
      </c>
      <c r="C76" s="3"/>
    </row>
    <row r="77" spans="1:3" ht="12.75">
      <c r="A77" s="3">
        <v>14250</v>
      </c>
      <c r="B77" s="3">
        <v>26510</v>
      </c>
      <c r="C77" s="3"/>
    </row>
    <row r="78" spans="1:3" ht="12.75">
      <c r="A78" s="3">
        <v>14250</v>
      </c>
      <c r="B78" s="3">
        <v>26510</v>
      </c>
      <c r="C78" s="3"/>
    </row>
    <row r="79" spans="1:3" ht="12.75">
      <c r="A79" s="3">
        <v>14300</v>
      </c>
      <c r="B79" s="3">
        <v>26600</v>
      </c>
      <c r="C79" s="3"/>
    </row>
    <row r="80" spans="1:3" ht="12.75">
      <c r="A80" s="3">
        <v>14300</v>
      </c>
      <c r="B80" s="3">
        <v>26600</v>
      </c>
      <c r="C80" s="3"/>
    </row>
    <row r="81" spans="1:3" ht="12.75">
      <c r="A81" s="3">
        <v>14520</v>
      </c>
      <c r="B81" s="3">
        <f>INT(A81*1.86/10+0.99)*10</f>
        <v>27010</v>
      </c>
      <c r="C81" s="3"/>
    </row>
    <row r="82" spans="1:3" ht="12.75">
      <c r="A82" s="3">
        <v>14550</v>
      </c>
      <c r="B82" s="3">
        <v>27070</v>
      </c>
      <c r="C82" s="3"/>
    </row>
    <row r="83" spans="1:3" ht="12.75">
      <c r="A83" s="3">
        <v>14550</v>
      </c>
      <c r="B83" s="3">
        <v>27070</v>
      </c>
      <c r="C83" s="3"/>
    </row>
    <row r="84" spans="1:3" ht="12.75">
      <c r="A84" s="3">
        <v>14625</v>
      </c>
      <c r="B84" s="3">
        <v>27210</v>
      </c>
      <c r="C84" s="3"/>
    </row>
    <row r="85" spans="1:3" ht="12.75">
      <c r="A85" s="3">
        <v>14625</v>
      </c>
      <c r="B85" s="3">
        <v>27210</v>
      </c>
      <c r="C85" s="3"/>
    </row>
    <row r="86" spans="1:3" ht="12.75">
      <c r="A86" s="3">
        <v>14625</v>
      </c>
      <c r="B86" s="3">
        <v>27210</v>
      </c>
      <c r="C86" s="3"/>
    </row>
    <row r="87" spans="1:3" ht="12.75">
      <c r="A87" s="3">
        <v>14700</v>
      </c>
      <c r="B87" s="3">
        <v>27350</v>
      </c>
      <c r="C87" s="3"/>
    </row>
    <row r="88" spans="1:3" ht="12.75">
      <c r="A88" s="3">
        <v>14750</v>
      </c>
      <c r="B88" s="3">
        <v>27440</v>
      </c>
      <c r="C88" s="3"/>
    </row>
    <row r="89" spans="1:3" ht="12.75">
      <c r="A89" s="3">
        <v>14875</v>
      </c>
      <c r="B89" s="3">
        <v>27670</v>
      </c>
      <c r="C89" s="3"/>
    </row>
    <row r="90" spans="1:3" ht="12.75">
      <c r="A90" s="3">
        <v>14875</v>
      </c>
      <c r="B90" s="3">
        <v>27670</v>
      </c>
      <c r="C90" s="3"/>
    </row>
    <row r="91" spans="1:3" ht="12.75">
      <c r="A91" s="3">
        <v>14940</v>
      </c>
      <c r="B91" s="3">
        <f>INT(A91*1.86/10+0.99)*10</f>
        <v>27790</v>
      </c>
      <c r="C91" s="3"/>
    </row>
    <row r="92" spans="1:3" ht="12.75">
      <c r="A92" s="3">
        <v>15000</v>
      </c>
      <c r="B92" s="3">
        <v>27900</v>
      </c>
      <c r="C92" s="3"/>
    </row>
    <row r="93" spans="1:3" ht="12.75">
      <c r="A93" s="3">
        <v>15000</v>
      </c>
      <c r="B93" s="3">
        <v>27900</v>
      </c>
      <c r="C93" s="3"/>
    </row>
    <row r="94" spans="1:3" ht="12.75">
      <c r="A94" s="3">
        <v>15000</v>
      </c>
      <c r="B94" s="3">
        <v>27900</v>
      </c>
      <c r="C94" s="3"/>
    </row>
    <row r="95" spans="1:3" ht="12.75">
      <c r="A95" s="3">
        <v>15100</v>
      </c>
      <c r="B95" s="3">
        <v>28090</v>
      </c>
      <c r="C95" s="3"/>
    </row>
    <row r="96" spans="1:3" ht="12.75">
      <c r="A96" s="3">
        <v>15100</v>
      </c>
      <c r="B96" s="3">
        <v>28090</v>
      </c>
      <c r="C96" s="3"/>
    </row>
    <row r="97" spans="1:3" ht="12.75">
      <c r="A97" s="3">
        <v>15200</v>
      </c>
      <c r="B97" s="3">
        <v>40180</v>
      </c>
      <c r="C97" s="3"/>
    </row>
    <row r="98" spans="1:3" ht="12.75">
      <c r="A98" s="3">
        <v>15200</v>
      </c>
      <c r="B98" s="3">
        <v>28280</v>
      </c>
      <c r="C98" s="3"/>
    </row>
    <row r="99" spans="1:3" ht="12.75">
      <c r="A99" s="3">
        <v>15200</v>
      </c>
      <c r="B99" s="3">
        <v>28280</v>
      </c>
      <c r="C99" s="3"/>
    </row>
    <row r="100" spans="1:3" ht="12.75">
      <c r="A100" s="3">
        <v>15360</v>
      </c>
      <c r="B100" s="3">
        <f>INT(A100*1.86/10+0.99)*10</f>
        <v>28570</v>
      </c>
      <c r="C100" s="3"/>
    </row>
    <row r="101" spans="1:3" ht="12.75">
      <c r="A101" s="3">
        <v>15375</v>
      </c>
      <c r="B101" s="3">
        <v>28600</v>
      </c>
      <c r="C101" s="3"/>
    </row>
    <row r="102" spans="1:3" ht="12.75">
      <c r="A102" s="3">
        <v>15375</v>
      </c>
      <c r="B102" s="3">
        <v>28600</v>
      </c>
      <c r="C102" s="3"/>
    </row>
    <row r="103" spans="1:3" ht="12.75">
      <c r="A103" s="3">
        <v>15375</v>
      </c>
      <c r="B103" s="3">
        <v>28600</v>
      </c>
      <c r="C103" s="3"/>
    </row>
    <row r="104" spans="1:3" ht="12.75">
      <c r="A104" s="3">
        <v>15500</v>
      </c>
      <c r="B104" s="3">
        <v>28830</v>
      </c>
      <c r="C104" s="3"/>
    </row>
    <row r="105" spans="1:3" ht="12.75">
      <c r="A105" s="3">
        <v>15500</v>
      </c>
      <c r="B105" s="3">
        <v>28830</v>
      </c>
      <c r="C105" s="3"/>
    </row>
    <row r="106" spans="1:3" ht="12.75">
      <c r="A106" s="3">
        <v>15525</v>
      </c>
      <c r="B106" s="3">
        <v>28880</v>
      </c>
      <c r="C106" s="3"/>
    </row>
    <row r="107" spans="1:3" ht="12.75">
      <c r="A107" s="3">
        <v>15650</v>
      </c>
      <c r="B107" s="3">
        <v>40180</v>
      </c>
      <c r="C107" s="3"/>
    </row>
    <row r="108" spans="1:3" ht="12.75">
      <c r="A108" s="3">
        <v>15750</v>
      </c>
      <c r="B108" s="3">
        <v>29300</v>
      </c>
      <c r="C108" s="3"/>
    </row>
    <row r="109" spans="1:3" ht="12.75">
      <c r="A109" s="3">
        <v>15750</v>
      </c>
      <c r="B109" s="3">
        <v>29300</v>
      </c>
      <c r="C109" s="3"/>
    </row>
    <row r="110" spans="1:3" ht="12.75">
      <c r="A110" s="3">
        <v>15750</v>
      </c>
      <c r="B110" s="3">
        <v>29300</v>
      </c>
      <c r="C110" s="3"/>
    </row>
    <row r="111" spans="1:3" ht="12.75">
      <c r="A111" s="3">
        <v>15780</v>
      </c>
      <c r="B111" s="3">
        <f>INT(A111*1.86/10+0.99)*10</f>
        <v>29360</v>
      </c>
      <c r="C111" s="3"/>
    </row>
    <row r="112" spans="1:3" ht="12.75">
      <c r="A112" s="3">
        <v>15850</v>
      </c>
      <c r="B112" s="3">
        <v>29490</v>
      </c>
      <c r="C112" s="3"/>
    </row>
    <row r="113" spans="1:3" ht="12.75">
      <c r="A113" s="3">
        <v>15900</v>
      </c>
      <c r="B113" s="3">
        <v>29580</v>
      </c>
      <c r="C113" s="3"/>
    </row>
    <row r="114" spans="1:3" ht="12.75">
      <c r="A114" s="3">
        <v>15900</v>
      </c>
      <c r="B114" s="3">
        <v>29580</v>
      </c>
      <c r="C114" s="3"/>
    </row>
    <row r="115" spans="1:3" ht="12.75">
      <c r="A115" s="3">
        <v>16100</v>
      </c>
      <c r="B115" s="3">
        <v>41190</v>
      </c>
      <c r="C115" s="3"/>
    </row>
    <row r="116" spans="1:3" ht="12.75">
      <c r="A116" s="3">
        <v>16125</v>
      </c>
      <c r="B116" s="3">
        <v>30000</v>
      </c>
      <c r="C116" s="3"/>
    </row>
    <row r="117" spans="1:3" ht="12.75">
      <c r="A117" s="3">
        <v>16125</v>
      </c>
      <c r="B117" s="3">
        <v>30000</v>
      </c>
      <c r="C117" s="3"/>
    </row>
    <row r="118" spans="1:3" ht="12.75">
      <c r="A118" s="3">
        <v>16125</v>
      </c>
      <c r="B118" s="3">
        <v>30000</v>
      </c>
      <c r="C118" s="3"/>
    </row>
    <row r="119" spans="1:3" ht="12.75">
      <c r="A119" s="3">
        <v>16200</v>
      </c>
      <c r="B119" s="3">
        <f>INT(A119*1.86/10+0.99)*10</f>
        <v>30140</v>
      </c>
      <c r="C119" s="3"/>
    </row>
    <row r="120" spans="1:3" ht="12.75">
      <c r="A120" s="3">
        <v>16300</v>
      </c>
      <c r="B120" s="3">
        <v>30320</v>
      </c>
      <c r="C120" s="3"/>
    </row>
    <row r="121" spans="1:3" ht="12.75">
      <c r="A121" s="3">
        <v>16300</v>
      </c>
      <c r="B121" s="3">
        <v>30320</v>
      </c>
      <c r="C121" s="3"/>
    </row>
    <row r="122" spans="1:3" ht="12.75">
      <c r="A122" s="3">
        <v>16400</v>
      </c>
      <c r="B122" s="3">
        <v>30510</v>
      </c>
      <c r="C122" s="3"/>
    </row>
    <row r="123" spans="1:3" ht="12.75">
      <c r="A123" s="3">
        <v>16400</v>
      </c>
      <c r="B123" s="3">
        <v>30510</v>
      </c>
      <c r="C123" s="3"/>
    </row>
    <row r="124" spans="1:3" ht="12.75">
      <c r="A124" s="3">
        <v>16500</v>
      </c>
      <c r="B124" s="3">
        <v>30690</v>
      </c>
      <c r="C124" s="3"/>
    </row>
    <row r="125" spans="1:3" ht="12.75">
      <c r="A125" s="3">
        <v>16500</v>
      </c>
      <c r="B125" s="3">
        <v>30690</v>
      </c>
      <c r="C125" s="3"/>
    </row>
    <row r="126" spans="1:3" ht="12.75">
      <c r="A126" s="3">
        <v>16500</v>
      </c>
      <c r="B126" s="3">
        <v>30690</v>
      </c>
      <c r="C126" s="3"/>
    </row>
    <row r="127" spans="1:3" ht="12.75">
      <c r="A127" s="3">
        <v>16550</v>
      </c>
      <c r="B127" s="3">
        <v>41190</v>
      </c>
      <c r="C127" s="3"/>
    </row>
    <row r="128" spans="1:3" ht="12.75">
      <c r="A128" s="3">
        <v>16620</v>
      </c>
      <c r="B128" s="3">
        <f>INT(A128*1.86/10+0.99)*10</f>
        <v>30920</v>
      </c>
      <c r="C128" s="3"/>
    </row>
    <row r="129" spans="1:3" ht="12.75">
      <c r="A129" s="3">
        <v>16700</v>
      </c>
      <c r="B129" s="3">
        <v>31070</v>
      </c>
      <c r="C129" s="3"/>
    </row>
    <row r="130" spans="1:3" ht="12.75">
      <c r="A130" s="3">
        <v>16700</v>
      </c>
      <c r="B130" s="3">
        <v>31070</v>
      </c>
      <c r="C130" s="3"/>
    </row>
    <row r="131" spans="1:3" ht="12.75">
      <c r="A131" s="3">
        <v>16850</v>
      </c>
      <c r="B131" s="3">
        <v>31350</v>
      </c>
      <c r="C131" s="3"/>
    </row>
    <row r="132" spans="1:3" ht="12.75">
      <c r="A132" s="3">
        <v>16850</v>
      </c>
      <c r="B132" s="3">
        <v>31350</v>
      </c>
      <c r="C132" s="3"/>
    </row>
    <row r="133" spans="1:3" ht="12.75">
      <c r="A133" s="3">
        <v>16875</v>
      </c>
      <c r="B133" s="3">
        <v>31390</v>
      </c>
      <c r="C133" s="3"/>
    </row>
    <row r="134" spans="1:3" ht="12.75">
      <c r="A134" s="3">
        <v>17000</v>
      </c>
      <c r="B134" s="3">
        <v>42220</v>
      </c>
      <c r="C134" s="3"/>
    </row>
    <row r="135" spans="1:3" ht="12.75">
      <c r="A135" s="3">
        <v>17040</v>
      </c>
      <c r="B135" s="3">
        <f>INT(A135*1.86/10+0.99)*10</f>
        <v>31700</v>
      </c>
      <c r="C135" s="3"/>
    </row>
    <row r="136" spans="1:3" ht="12.75">
      <c r="A136" s="3">
        <v>17100</v>
      </c>
      <c r="B136" s="3">
        <v>31810</v>
      </c>
      <c r="C136" s="3"/>
    </row>
    <row r="137" spans="1:3" ht="12.75">
      <c r="A137" s="3">
        <v>17100</v>
      </c>
      <c r="B137" s="3">
        <v>31810</v>
      </c>
      <c r="C137" s="3"/>
    </row>
    <row r="138" spans="1:3" ht="12.75">
      <c r="A138" s="3">
        <v>17250</v>
      </c>
      <c r="B138" s="3">
        <v>32090</v>
      </c>
      <c r="C138" s="3"/>
    </row>
    <row r="139" spans="1:3" ht="12.75">
      <c r="A139" s="3">
        <v>17300</v>
      </c>
      <c r="B139" s="3">
        <v>32180</v>
      </c>
      <c r="C139" s="3"/>
    </row>
    <row r="140" spans="1:3" ht="12.75">
      <c r="A140" s="3">
        <v>17300</v>
      </c>
      <c r="B140" s="3">
        <v>32180</v>
      </c>
      <c r="C140" s="3"/>
    </row>
    <row r="141" spans="1:3" ht="12.75">
      <c r="A141" s="3">
        <v>17450</v>
      </c>
      <c r="B141" s="3">
        <v>42220</v>
      </c>
      <c r="C141" s="3"/>
    </row>
    <row r="142" spans="1:3" ht="12.75">
      <c r="A142" s="3">
        <v>17460</v>
      </c>
      <c r="B142" s="3">
        <f>INT(A142*1.86/10+0.99)*10</f>
        <v>32480</v>
      </c>
      <c r="C142" s="3"/>
    </row>
    <row r="143" spans="1:3" ht="12.75">
      <c r="A143" s="3">
        <v>17500</v>
      </c>
      <c r="B143" s="3">
        <v>32550</v>
      </c>
      <c r="C143" s="3"/>
    </row>
    <row r="144" spans="1:3" ht="12.75">
      <c r="A144" s="3">
        <v>17500</v>
      </c>
      <c r="B144" s="3">
        <v>32550</v>
      </c>
      <c r="C144" s="3"/>
    </row>
    <row r="145" spans="1:3" ht="12.75">
      <c r="A145" s="3">
        <v>17625</v>
      </c>
      <c r="B145" s="3">
        <v>32790</v>
      </c>
      <c r="C145" s="3"/>
    </row>
    <row r="146" spans="1:3" ht="12.75">
      <c r="A146" s="3">
        <v>17750</v>
      </c>
      <c r="B146" s="3">
        <v>33020</v>
      </c>
      <c r="C146" s="3"/>
    </row>
    <row r="147" spans="1:3" ht="12.75">
      <c r="A147" s="3">
        <v>17750</v>
      </c>
      <c r="B147" s="3">
        <v>33020</v>
      </c>
      <c r="C147" s="3"/>
    </row>
    <row r="148" spans="1:3" ht="12.75">
      <c r="A148" s="3">
        <v>17880</v>
      </c>
      <c r="B148" s="3">
        <f>INT(A148*1.86/10+0.99)*10</f>
        <v>33260</v>
      </c>
      <c r="C148" s="3"/>
    </row>
    <row r="149" spans="1:3" ht="12.75">
      <c r="A149" s="3">
        <v>17900</v>
      </c>
      <c r="B149" s="3">
        <v>43280</v>
      </c>
      <c r="C149" s="3"/>
    </row>
    <row r="150" spans="1:3" ht="12.75">
      <c r="A150" s="3">
        <v>17900</v>
      </c>
      <c r="B150" s="3">
        <v>33300</v>
      </c>
      <c r="C150" s="3"/>
    </row>
    <row r="151" spans="1:3" ht="12.75">
      <c r="A151" s="3">
        <v>17900</v>
      </c>
      <c r="B151" s="3">
        <v>33300</v>
      </c>
      <c r="C151" s="3"/>
    </row>
    <row r="152" spans="1:3" ht="12.75">
      <c r="A152" s="3">
        <v>18000</v>
      </c>
      <c r="B152" s="3">
        <v>33480</v>
      </c>
      <c r="C152" s="3"/>
    </row>
    <row r="153" spans="1:3" ht="12.75">
      <c r="A153" s="3">
        <v>18200</v>
      </c>
      <c r="B153" s="3">
        <v>33860</v>
      </c>
      <c r="C153" s="3"/>
    </row>
    <row r="154" spans="1:3" ht="12.75">
      <c r="A154" s="3">
        <v>18200</v>
      </c>
      <c r="B154" s="3">
        <v>33860</v>
      </c>
      <c r="C154" s="3"/>
    </row>
    <row r="155" spans="1:3" ht="12.75">
      <c r="A155" s="3">
        <v>18300</v>
      </c>
      <c r="B155" s="3">
        <v>34040</v>
      </c>
      <c r="C155" s="3"/>
    </row>
    <row r="156" spans="1:3" ht="12.75">
      <c r="A156" s="3">
        <v>18300</v>
      </c>
      <c r="B156" s="3">
        <v>34040</v>
      </c>
      <c r="C156" s="3"/>
    </row>
    <row r="157" spans="1:3" ht="12.75">
      <c r="A157" s="3">
        <v>18350</v>
      </c>
      <c r="B157" s="3">
        <v>43280</v>
      </c>
      <c r="C157" s="3"/>
    </row>
    <row r="158" spans="1:3" ht="12.75">
      <c r="A158" s="3">
        <v>18400</v>
      </c>
      <c r="B158" s="3">
        <v>43280</v>
      </c>
      <c r="C158" s="3"/>
    </row>
    <row r="159" spans="1:3" ht="12.75">
      <c r="A159" s="3">
        <v>18650</v>
      </c>
      <c r="B159" s="3">
        <v>34690</v>
      </c>
      <c r="C159" s="3"/>
    </row>
    <row r="160" spans="1:3" ht="12.75">
      <c r="A160" s="3">
        <v>18650</v>
      </c>
      <c r="B160" s="3">
        <v>34690</v>
      </c>
      <c r="C160" s="3"/>
    </row>
    <row r="161" spans="1:3" ht="12.75">
      <c r="A161" s="3">
        <v>18720</v>
      </c>
      <c r="B161" s="3">
        <f>INT(A161*1.86/10+0.99)*10</f>
        <v>34820</v>
      </c>
      <c r="C161" s="3"/>
    </row>
    <row r="162" spans="1:3" ht="12.75">
      <c r="A162" s="3">
        <v>18800</v>
      </c>
      <c r="B162" s="3">
        <v>44370</v>
      </c>
      <c r="C162" s="3"/>
    </row>
    <row r="163" spans="1:3" ht="12.75">
      <c r="A163" s="3">
        <v>18900</v>
      </c>
      <c r="B163" s="3">
        <v>44370</v>
      </c>
      <c r="C163" s="3"/>
    </row>
    <row r="164" spans="1:3" ht="12.75">
      <c r="A164" s="3">
        <v>19100</v>
      </c>
      <c r="B164" s="3">
        <v>35530</v>
      </c>
      <c r="C164" s="3"/>
    </row>
    <row r="165" spans="1:3" ht="12.75">
      <c r="A165" s="3">
        <v>19100</v>
      </c>
      <c r="B165" s="3">
        <v>35530</v>
      </c>
      <c r="C165" s="3"/>
    </row>
    <row r="166" spans="1:3" ht="12.75">
      <c r="A166" s="3">
        <v>19140</v>
      </c>
      <c r="B166" s="3">
        <f>INT(A166*1.86/10+0.99)*10</f>
        <v>35610</v>
      </c>
      <c r="C166" s="3"/>
    </row>
    <row r="167" spans="1:3" ht="12.75">
      <c r="A167" s="3">
        <v>19250</v>
      </c>
      <c r="B167" s="3">
        <v>44370</v>
      </c>
      <c r="C167" s="3"/>
    </row>
    <row r="168" spans="1:3" ht="12.75">
      <c r="A168" s="3">
        <v>19400</v>
      </c>
      <c r="B168" s="3">
        <v>44370</v>
      </c>
      <c r="C168" s="3"/>
    </row>
    <row r="169" spans="1:3" ht="12.75">
      <c r="A169" s="3">
        <v>19550</v>
      </c>
      <c r="B169" s="3">
        <v>36370</v>
      </c>
      <c r="C169" s="3"/>
    </row>
    <row r="170" spans="1:3" ht="12.75">
      <c r="A170" s="3">
        <v>19550</v>
      </c>
      <c r="B170" s="3">
        <v>36370</v>
      </c>
      <c r="C170" s="3"/>
    </row>
    <row r="171" spans="1:3" ht="12.75">
      <c r="A171" s="3">
        <v>19560</v>
      </c>
      <c r="B171" s="3">
        <f>INT(A171*1.86/10+0.99)*10</f>
        <v>36390</v>
      </c>
      <c r="C171" s="3"/>
    </row>
    <row r="172" spans="1:3" ht="12.75">
      <c r="A172" s="3">
        <v>19700</v>
      </c>
      <c r="B172" s="3">
        <v>45480</v>
      </c>
      <c r="C172" s="3"/>
    </row>
    <row r="173" spans="1:3" ht="12.75">
      <c r="A173" s="3">
        <v>19900</v>
      </c>
      <c r="B173" s="3">
        <v>45480</v>
      </c>
      <c r="C173" s="3"/>
    </row>
    <row r="174" spans="1:3" ht="12.75">
      <c r="A174" s="3">
        <v>20000</v>
      </c>
      <c r="B174" s="3">
        <v>37200</v>
      </c>
      <c r="C174" s="3"/>
    </row>
    <row r="175" spans="1:3" ht="12.75">
      <c r="A175" s="3">
        <v>20000</v>
      </c>
      <c r="B175" s="3">
        <v>37200</v>
      </c>
      <c r="C175" s="3"/>
    </row>
    <row r="176" spans="1:3" ht="12.75">
      <c r="A176" s="3">
        <v>20150</v>
      </c>
      <c r="B176" s="3">
        <v>45280</v>
      </c>
      <c r="C176" s="3"/>
    </row>
    <row r="177" spans="1:3" ht="12.75">
      <c r="A177" s="3">
        <v>20400</v>
      </c>
      <c r="B177" s="3">
        <v>45480</v>
      </c>
      <c r="C177" s="3"/>
    </row>
    <row r="178" spans="1:3" ht="12.75">
      <c r="A178" s="6">
        <v>20450</v>
      </c>
      <c r="B178" s="3">
        <v>38040</v>
      </c>
      <c r="C178" s="3"/>
    </row>
    <row r="179" spans="1:3" ht="12.75">
      <c r="A179" s="3">
        <v>20600</v>
      </c>
      <c r="B179" s="3">
        <v>46620</v>
      </c>
      <c r="C179" s="3"/>
    </row>
    <row r="180" spans="1:3" ht="12.75">
      <c r="A180" s="5">
        <v>20900</v>
      </c>
      <c r="B180" s="3">
        <v>46620</v>
      </c>
      <c r="C180" s="3"/>
    </row>
    <row r="181" spans="1:3" ht="12.75">
      <c r="A181" s="4">
        <v>20900</v>
      </c>
      <c r="B181" s="3">
        <v>38880</v>
      </c>
      <c r="C181" s="3"/>
    </row>
    <row r="182" spans="1:3" ht="12.75">
      <c r="A182" s="3">
        <v>21050</v>
      </c>
      <c r="B182" s="3">
        <v>46620</v>
      </c>
      <c r="C182" s="3"/>
    </row>
    <row r="183" spans="1:3" ht="12.75">
      <c r="A183" s="3">
        <v>21400</v>
      </c>
      <c r="B183" s="3">
        <v>46620</v>
      </c>
      <c r="C183" s="3"/>
    </row>
    <row r="184" spans="1:3" ht="12.75">
      <c r="A184" s="3">
        <v>21500</v>
      </c>
      <c r="B184" s="3">
        <v>47790</v>
      </c>
      <c r="C184" s="3"/>
    </row>
    <row r="185" spans="1:3" ht="12.75">
      <c r="A185" s="3">
        <v>21900</v>
      </c>
      <c r="B185" s="3">
        <v>47790</v>
      </c>
      <c r="C185" s="3"/>
    </row>
    <row r="186" spans="1:3" ht="12.75">
      <c r="A186" s="3">
        <v>21950</v>
      </c>
      <c r="B186" s="3">
        <v>47790</v>
      </c>
      <c r="C186" s="3"/>
    </row>
    <row r="187" spans="1:3" ht="12.75">
      <c r="A187" s="3">
        <v>22400</v>
      </c>
      <c r="B187" s="3">
        <v>48990</v>
      </c>
      <c r="C187" s="3"/>
    </row>
    <row r="188" spans="1:3" ht="12.75">
      <c r="A188" s="3">
        <v>22400</v>
      </c>
      <c r="B188" s="3">
        <v>48990</v>
      </c>
      <c r="C188" s="3"/>
    </row>
    <row r="189" spans="1:3" ht="12.75">
      <c r="A189" s="3">
        <v>22400</v>
      </c>
      <c r="B189" s="3">
        <v>48990</v>
      </c>
      <c r="C189" s="3"/>
    </row>
    <row r="190" spans="1:3" ht="12.75">
      <c r="A190" s="3">
        <v>22400</v>
      </c>
      <c r="B190" s="3">
        <v>48990</v>
      </c>
      <c r="C190" s="3"/>
    </row>
    <row r="191" spans="1:3" ht="12.75">
      <c r="A191" s="3">
        <v>22925</v>
      </c>
      <c r="B191" s="3">
        <v>50220</v>
      </c>
      <c r="C191" s="3"/>
    </row>
    <row r="192" spans="1:3" ht="12.75">
      <c r="A192" s="3">
        <v>23000</v>
      </c>
      <c r="B192" s="3">
        <v>50220</v>
      </c>
      <c r="C192" s="3"/>
    </row>
    <row r="193" spans="1:3" ht="12.75">
      <c r="A193" s="3">
        <v>23450</v>
      </c>
      <c r="B193" s="3">
        <v>51480</v>
      </c>
      <c r="C193" s="3"/>
    </row>
    <row r="194" spans="1:3" ht="12.75">
      <c r="A194" s="3">
        <v>23600</v>
      </c>
      <c r="B194" s="3">
        <v>51480</v>
      </c>
      <c r="C194" s="3"/>
    </row>
    <row r="195" spans="1:3" ht="12.75">
      <c r="A195" s="3">
        <v>23975</v>
      </c>
      <c r="B195" s="3">
        <v>52770</v>
      </c>
      <c r="C195" s="3"/>
    </row>
    <row r="196" spans="1:3" ht="12.75">
      <c r="A196" s="3">
        <v>24050</v>
      </c>
      <c r="B196" s="3">
        <v>52770</v>
      </c>
      <c r="C196" s="3"/>
    </row>
    <row r="197" spans="1:3" ht="12.75">
      <c r="A197" s="3">
        <v>24200</v>
      </c>
      <c r="B197" s="3">
        <v>54090</v>
      </c>
      <c r="C197" s="3"/>
    </row>
    <row r="198" spans="1:3" ht="12.75">
      <c r="A198" s="3">
        <v>24500</v>
      </c>
      <c r="B198" s="3">
        <v>54090</v>
      </c>
      <c r="C198" s="3"/>
    </row>
    <row r="199" spans="1:3" ht="12.75">
      <c r="A199" s="3">
        <v>24700</v>
      </c>
      <c r="B199" s="3">
        <v>55450</v>
      </c>
      <c r="C199" s="3"/>
    </row>
    <row r="200" spans="1:3" ht="12.75">
      <c r="A200" s="3">
        <v>24800</v>
      </c>
      <c r="B200" s="3">
        <v>55450</v>
      </c>
      <c r="C200" s="3"/>
    </row>
    <row r="201" spans="1:3" ht="12.75">
      <c r="A201" s="3">
        <v>25350</v>
      </c>
      <c r="B201" s="3">
        <v>56840</v>
      </c>
      <c r="C201" s="3"/>
    </row>
    <row r="202" spans="1:3" ht="12.75">
      <c r="A202" s="3">
        <v>25400</v>
      </c>
      <c r="B202" s="3">
        <v>56840</v>
      </c>
      <c r="C202" s="3"/>
    </row>
    <row r="203" spans="1:3" ht="12.75">
      <c r="A203" s="3">
        <v>26000</v>
      </c>
      <c r="B203" s="3">
        <v>58270</v>
      </c>
      <c r="C203" s="3"/>
    </row>
    <row r="204" spans="1:3" ht="12.75">
      <c r="A204" s="5">
        <v>26000</v>
      </c>
      <c r="B204" s="3">
        <v>58270</v>
      </c>
      <c r="C204" s="3"/>
    </row>
    <row r="205" spans="1:3" ht="12.75">
      <c r="A205" s="5">
        <v>26000</v>
      </c>
      <c r="B205" s="3">
        <v>80000</v>
      </c>
      <c r="C205" s="3"/>
    </row>
    <row r="206" spans="1:3" ht="12.75">
      <c r="A206" s="3">
        <v>30000</v>
      </c>
      <c r="B206" s="3">
        <v>90000</v>
      </c>
      <c r="C206" s="3"/>
    </row>
  </sheetData>
  <sheetProtection password="83AF" sheet="1" objects="1" scenarios="1"/>
  <printOptions/>
  <pageMargins left="0.75" right="0.75" top="1.6666666666666667" bottom="1.6666666666666667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DR.RAKESH PANDEY</cp:lastModifiedBy>
  <cp:lastPrinted>2009-01-14T17:52:59Z</cp:lastPrinted>
  <dcterms:created xsi:type="dcterms:W3CDTF">2008-08-21T14:27:31Z</dcterms:created>
  <dcterms:modified xsi:type="dcterms:W3CDTF">2009-01-30T14:10:47Z</dcterms:modified>
  <cp:category/>
  <cp:version/>
  <cp:contentType/>
  <cp:contentStatus/>
</cp:coreProperties>
</file>