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2120" windowHeight="9120" activeTab="0"/>
  </bookViews>
  <sheets>
    <sheet name="lecturer" sheetId="1" r:id="rId1"/>
    <sheet name="table" sheetId="2" r:id="rId2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<sst xmlns="http://schemas.openxmlformats.org/spreadsheetml/2006/main" count="40" uniqueCount="35">
  <si>
    <t>FIXED</t>
  </si>
  <si>
    <t>GRADE</t>
  </si>
  <si>
    <t>DA</t>
  </si>
  <si>
    <t>Total</t>
  </si>
  <si>
    <t>HRA</t>
  </si>
  <si>
    <t>GROSS</t>
  </si>
  <si>
    <t xml:space="preserve"> First Installment</t>
  </si>
  <si>
    <t>Enter old HRA Rate (%)</t>
  </si>
  <si>
    <t>Enter Month of Old increment (1 to 12)</t>
  </si>
  <si>
    <t>Jan-2008</t>
  </si>
  <si>
    <t>Jan-2007</t>
  </si>
  <si>
    <t xml:space="preserve">DA rate </t>
  </si>
  <si>
    <t>%</t>
  </si>
  <si>
    <t>Second Installment</t>
  </si>
  <si>
    <t>Arrears</t>
  </si>
  <si>
    <t>Enter New TA amount (3200/1600)</t>
  </si>
  <si>
    <t>Enter old Increment amount</t>
  </si>
  <si>
    <t>July-2008</t>
  </si>
  <si>
    <t>Enter New HRA rate of your city (%)</t>
  </si>
  <si>
    <t>Jul-2007</t>
  </si>
  <si>
    <t>Jul-2006</t>
  </si>
  <si>
    <t>Basic</t>
  </si>
  <si>
    <t>PAY DRAWN</t>
  </si>
  <si>
    <t>BASIC</t>
  </si>
  <si>
    <t>DP</t>
  </si>
  <si>
    <t>n</t>
  </si>
  <si>
    <t>Are you staying in quarters (y/n)</t>
  </si>
  <si>
    <r>
      <t xml:space="preserve">New pay Calculator-for College Teachers - prepared by </t>
    </r>
    <r>
      <rPr>
        <b/>
        <sz val="10"/>
        <color indexed="20"/>
        <rFont val="Arial"/>
        <family val="2"/>
      </rPr>
      <t>RAKESH KUMAR PANDEY Ph 9811170889</t>
    </r>
    <r>
      <rPr>
        <b/>
        <sz val="9"/>
        <color indexed="10"/>
        <rFont val="Arial"/>
        <family val="0"/>
      </rPr>
      <t xml:space="preserve">
</t>
    </r>
    <r>
      <rPr>
        <b/>
        <sz val="12"/>
        <color indexed="10"/>
        <rFont val="Arial"/>
        <family val="2"/>
      </rPr>
      <t>PUT VALUES IN THE YELLOW BOXES AND SEE YOUR SALARY</t>
    </r>
    <r>
      <rPr>
        <b/>
        <sz val="9"/>
        <color indexed="10"/>
        <rFont val="Arial"/>
        <family val="0"/>
      </rPr>
      <t xml:space="preserve"> </t>
    </r>
  </si>
  <si>
    <t>Enter your basic at the time of joining</t>
  </si>
  <si>
    <t>Enter Your date of joining (mm/dd/yyyy)</t>
  </si>
  <si>
    <t>NEW PAY</t>
  </si>
  <si>
    <t>Total arrears till aug 2008</t>
  </si>
  <si>
    <t>Arrears of sep 08 to dec 08</t>
  </si>
  <si>
    <r>
      <t>For teachers who joined on or after 1.1.06 as lecturer</t>
    </r>
    <r>
      <rPr>
        <b/>
        <sz val="14"/>
        <color indexed="8"/>
        <rFont val="Arial"/>
        <family val="0"/>
      </rPr>
      <t xml:space="preserve">
</t>
    </r>
    <r>
      <rPr>
        <b/>
        <sz val="8"/>
        <color indexed="10"/>
        <rFont val="Arial"/>
        <family val="2"/>
      </rPr>
      <t>(3 and 5 advance increments  for M.Phil. &amp; Ph.D. respectively is not being encarporated in the NEW PAY calculation here since the date from which this would be applicable is yet to be cleared by UGC)</t>
    </r>
  </si>
  <si>
    <t>TA+CCA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</si>
</sst>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;[Red]0"/>
    <numFmt numFmtId="165" formatCode="0.0;[Red]0.0"/>
    <numFmt numFmtId="166" formatCode="&quot;Yes&quot;;&quot;Yes&quot;;&quot;No&quot;"/>
    <numFmt numFmtId="167" formatCode="mmm\-yyyy"/>
    <numFmt numFmtId="168" formatCode="d"/>
    <numFmt numFmtId="169" formatCode="[$-409]dddd\,\ mmmm\ dd\,\ yyyy"/>
    <numFmt numFmtId="170" formatCode="[$-409]mmmmm\-yy;@"/>
  </numFmts>
  <fonts count="21">
    <font>
      <sz val="10"/>
      <color indexed="8"/>
      <name val="Arial"/>
      <family val="0"/>
    </font>
    <font>
      <b/>
      <sz val="10"/>
      <color indexed="8"/>
      <name val="Verdana"/>
      <family val="0"/>
    </font>
    <font>
      <sz val="8"/>
      <color indexed="8"/>
      <name val="Arial"/>
      <family val="0"/>
    </font>
    <font>
      <b/>
      <sz val="12"/>
      <color indexed="8"/>
      <name val="Arial"/>
      <family val="0"/>
    </font>
    <font>
      <b/>
      <sz val="8"/>
      <color indexed="8"/>
      <name val="Arial"/>
      <family val="0"/>
    </font>
    <font>
      <b/>
      <sz val="8"/>
      <color indexed="8"/>
      <name val="Verdana"/>
      <family val="0"/>
    </font>
    <font>
      <sz val="8"/>
      <name val="Arial"/>
      <family val="0"/>
    </font>
    <font>
      <sz val="8"/>
      <color indexed="9"/>
      <name val="Arial"/>
      <family val="0"/>
    </font>
    <font>
      <sz val="8"/>
      <color indexed="8"/>
      <name val="Verdana"/>
      <family val="0"/>
    </font>
    <font>
      <b/>
      <sz val="8"/>
      <color indexed="9"/>
      <name val="Arial"/>
      <family val="0"/>
    </font>
    <font>
      <sz val="8"/>
      <color indexed="9"/>
      <name val="Times New Roman"/>
      <family val="0"/>
    </font>
    <font>
      <b/>
      <sz val="9"/>
      <color indexed="8"/>
      <name val="Arial"/>
      <family val="0"/>
    </font>
    <font>
      <sz val="8"/>
      <color indexed="9"/>
      <name val="Verdana"/>
      <family val="0"/>
    </font>
    <font>
      <b/>
      <sz val="9"/>
      <color indexed="10"/>
      <name val="Arial"/>
      <family val="0"/>
    </font>
    <font>
      <b/>
      <sz val="12"/>
      <color indexed="10"/>
      <name val="Arial"/>
      <family val="2"/>
    </font>
    <font>
      <b/>
      <sz val="10"/>
      <color indexed="20"/>
      <name val="Arial"/>
      <family val="2"/>
    </font>
    <font>
      <b/>
      <sz val="14"/>
      <color indexed="8"/>
      <name val="Arial"/>
      <family val="0"/>
    </font>
    <font>
      <b/>
      <sz val="8"/>
      <color indexed="10"/>
      <name val="Arial"/>
      <family val="2"/>
    </font>
    <font>
      <sz val="8"/>
      <name val="Tahoma"/>
      <family val="2"/>
    </font>
    <font>
      <b/>
      <sz val="10"/>
      <color indexed="8"/>
      <name val="Arial"/>
      <family val="0"/>
    </font>
    <font>
      <b/>
      <sz val="9"/>
      <color indexed="8"/>
      <name val="Verdana"/>
      <family val="0"/>
    </font>
  </fonts>
  <fills count="12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2"/>
        <bgColor indexed="64"/>
      </patternFill>
    </fill>
  </fills>
  <borders count="3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14">
    <xf numFmtId="0" fontId="0" fillId="0" borderId="0" xfId="0" applyAlignment="1">
      <alignment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3" fontId="0" fillId="0" borderId="0" xfId="0" applyNumberFormat="1" applyFont="1" applyFill="1" applyBorder="1" applyAlignment="1" applyProtection="1">
      <alignment/>
      <protection/>
    </xf>
    <xf numFmtId="3" fontId="0" fillId="2" borderId="0" xfId="0" applyNumberFormat="1" applyFont="1" applyFill="1" applyBorder="1" applyAlignment="1" applyProtection="1">
      <alignment/>
      <protection/>
    </xf>
    <xf numFmtId="3" fontId="0" fillId="3" borderId="0" xfId="0" applyNumberFormat="1" applyFont="1" applyFill="1" applyBorder="1" applyAlignment="1" applyProtection="1">
      <alignment/>
      <protection/>
    </xf>
    <xf numFmtId="3" fontId="0" fillId="4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2" fillId="0" borderId="0" xfId="0" applyFont="1" applyAlignment="1">
      <alignment/>
    </xf>
    <xf numFmtId="0" fontId="2" fillId="4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17" fontId="5" fillId="0" borderId="1" xfId="0" applyNumberFormat="1" applyFont="1" applyFill="1" applyBorder="1" applyAlignment="1" applyProtection="1">
      <alignment horizontal="left"/>
      <protection/>
    </xf>
    <xf numFmtId="0" fontId="8" fillId="0" borderId="1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8" fillId="4" borderId="1" xfId="0" applyNumberFormat="1" applyFont="1" applyFill="1" applyBorder="1" applyAlignment="1" applyProtection="1">
      <alignment horizontal="center"/>
      <protection/>
    </xf>
    <xf numFmtId="0" fontId="2" fillId="0" borderId="2" xfId="0" applyNumberFormat="1" applyFont="1" applyFill="1" applyBorder="1" applyAlignment="1" applyProtection="1">
      <alignment/>
      <protection/>
    </xf>
    <xf numFmtId="17" fontId="2" fillId="0" borderId="2" xfId="0" applyNumberFormat="1" applyFont="1" applyFill="1" applyBorder="1" applyAlignment="1" applyProtection="1">
      <alignment/>
      <protection/>
    </xf>
    <xf numFmtId="0" fontId="7" fillId="0" borderId="0" xfId="0" applyFont="1" applyAlignment="1">
      <alignment/>
    </xf>
    <xf numFmtId="0" fontId="2" fillId="0" borderId="2" xfId="0" applyNumberFormat="1" applyFont="1" applyFill="1" applyBorder="1" applyAlignment="1" applyProtection="1">
      <alignment horizontal="center"/>
      <protection/>
    </xf>
    <xf numFmtId="17" fontId="5" fillId="0" borderId="3" xfId="0" applyNumberFormat="1" applyFont="1" applyFill="1" applyBorder="1" applyAlignment="1" applyProtection="1">
      <alignment horizontal="left"/>
      <protection/>
    </xf>
    <xf numFmtId="0" fontId="8" fillId="0" borderId="3" xfId="0" applyNumberFormat="1" applyFont="1" applyFill="1" applyBorder="1" applyAlignment="1" applyProtection="1">
      <alignment horizontal="center"/>
      <protection/>
    </xf>
    <xf numFmtId="0" fontId="8" fillId="5" borderId="2" xfId="0" applyNumberFormat="1" applyFont="1" applyFill="1" applyBorder="1" applyAlignment="1" applyProtection="1">
      <alignment/>
      <protection/>
    </xf>
    <xf numFmtId="0" fontId="5" fillId="5" borderId="2" xfId="0" applyNumberFormat="1" applyFont="1" applyFill="1" applyBorder="1" applyAlignment="1" applyProtection="1">
      <alignment horizontal="center"/>
      <protection/>
    </xf>
    <xf numFmtId="0" fontId="8" fillId="4" borderId="2" xfId="0" applyNumberFormat="1" applyFont="1" applyFill="1" applyBorder="1" applyAlignment="1" applyProtection="1">
      <alignment horizontal="center"/>
      <protection/>
    </xf>
    <xf numFmtId="0" fontId="4" fillId="5" borderId="4" xfId="0" applyNumberFormat="1" applyFont="1" applyFill="1" applyBorder="1" applyAlignment="1" applyProtection="1">
      <alignment horizontal="center"/>
      <protection/>
    </xf>
    <xf numFmtId="0" fontId="4" fillId="2" borderId="1" xfId="0" applyNumberFormat="1" applyFont="1" applyFill="1" applyBorder="1" applyAlignment="1" applyProtection="1">
      <alignment horizontal="center"/>
      <protection locked="0"/>
    </xf>
    <xf numFmtId="164" fontId="4" fillId="2" borderId="1" xfId="0" applyNumberFormat="1" applyFont="1" applyFill="1" applyBorder="1" applyAlignment="1" applyProtection="1">
      <alignment horizontal="center"/>
      <protection locked="0"/>
    </xf>
    <xf numFmtId="166" fontId="11" fillId="2" borderId="2" xfId="0" applyNumberFormat="1" applyFont="1" applyFill="1" applyBorder="1" applyAlignment="1" applyProtection="1">
      <alignment horizontal="center"/>
      <protection locked="0"/>
    </xf>
    <xf numFmtId="165" fontId="4" fillId="2" borderId="2" xfId="0" applyNumberFormat="1" applyFont="1" applyFill="1" applyBorder="1" applyAlignment="1" applyProtection="1">
      <alignment horizontal="center"/>
      <protection locked="0"/>
    </xf>
    <xf numFmtId="0" fontId="4" fillId="5" borderId="5" xfId="0" applyNumberFormat="1" applyFont="1" applyFill="1" applyBorder="1" applyAlignment="1" applyProtection="1">
      <alignment horizontal="center"/>
      <protection/>
    </xf>
    <xf numFmtId="1" fontId="2" fillId="0" borderId="6" xfId="0" applyNumberFormat="1" applyFont="1" applyFill="1" applyBorder="1" applyAlignment="1" applyProtection="1">
      <alignment horizontal="center"/>
      <protection/>
    </xf>
    <xf numFmtId="14" fontId="4" fillId="2" borderId="3" xfId="0" applyNumberFormat="1" applyFont="1" applyFill="1" applyBorder="1" applyAlignment="1" applyProtection="1">
      <alignment horizontal="center"/>
      <protection locked="0"/>
    </xf>
    <xf numFmtId="0" fontId="12" fillId="0" borderId="0" xfId="0" applyNumberFormat="1" applyFont="1" applyFill="1" applyBorder="1" applyAlignment="1" applyProtection="1">
      <alignment/>
      <protection/>
    </xf>
    <xf numFmtId="168" fontId="7" fillId="0" borderId="0" xfId="0" applyNumberFormat="1" applyFont="1" applyFill="1" applyBorder="1" applyAlignment="1" applyProtection="1">
      <alignment/>
      <protection/>
    </xf>
    <xf numFmtId="164" fontId="7" fillId="0" borderId="0" xfId="0" applyNumberFormat="1" applyFont="1" applyFill="1" applyBorder="1" applyAlignment="1" applyProtection="1">
      <alignment/>
      <protection/>
    </xf>
    <xf numFmtId="164" fontId="4" fillId="4" borderId="7" xfId="0" applyNumberFormat="1" applyFont="1" applyFill="1" applyBorder="1" applyAlignment="1" applyProtection="1">
      <alignment horizontal="center"/>
      <protection/>
    </xf>
    <xf numFmtId="164" fontId="4" fillId="4" borderId="0" xfId="0" applyNumberFormat="1" applyFont="1" applyFill="1" applyBorder="1" applyAlignment="1" applyProtection="1">
      <alignment horizontal="center"/>
      <protection/>
    </xf>
    <xf numFmtId="0" fontId="5" fillId="5" borderId="3" xfId="0" applyNumberFormat="1" applyFont="1" applyFill="1" applyBorder="1" applyAlignment="1" applyProtection="1">
      <alignment horizontal="center"/>
      <protection/>
    </xf>
    <xf numFmtId="0" fontId="5" fillId="4" borderId="0" xfId="0" applyNumberFormat="1" applyFont="1" applyFill="1" applyBorder="1" applyAlignment="1" applyProtection="1">
      <alignment/>
      <protection/>
    </xf>
    <xf numFmtId="0" fontId="4" fillId="4" borderId="0" xfId="0" applyNumberFormat="1" applyFont="1" applyFill="1" applyBorder="1" applyAlignment="1" applyProtection="1">
      <alignment/>
      <protection/>
    </xf>
    <xf numFmtId="17" fontId="5" fillId="0" borderId="7" xfId="0" applyNumberFormat="1" applyFont="1" applyFill="1" applyBorder="1" applyAlignment="1" applyProtection="1">
      <alignment horizontal="left"/>
      <protection/>
    </xf>
    <xf numFmtId="14" fontId="4" fillId="4" borderId="0" xfId="0" applyNumberFormat="1" applyFont="1" applyFill="1" applyBorder="1" applyAlignment="1" applyProtection="1">
      <alignment horizontal="center"/>
      <protection locked="0"/>
    </xf>
    <xf numFmtId="0" fontId="4" fillId="4" borderId="0" xfId="0" applyNumberFormat="1" applyFont="1" applyFill="1" applyBorder="1" applyAlignment="1" applyProtection="1">
      <alignment horizontal="center"/>
      <protection locked="0"/>
    </xf>
    <xf numFmtId="164" fontId="4" fillId="4" borderId="0" xfId="0" applyNumberFormat="1" applyFont="1" applyFill="1" applyBorder="1" applyAlignment="1" applyProtection="1">
      <alignment horizontal="center"/>
      <protection locked="0"/>
    </xf>
    <xf numFmtId="166" fontId="11" fillId="4" borderId="0" xfId="0" applyNumberFormat="1" applyFont="1" applyFill="1" applyBorder="1" applyAlignment="1" applyProtection="1">
      <alignment horizontal="center"/>
      <protection locked="0"/>
    </xf>
    <xf numFmtId="165" fontId="4" fillId="4" borderId="0" xfId="0" applyNumberFormat="1" applyFont="1" applyFill="1" applyBorder="1" applyAlignment="1" applyProtection="1">
      <alignment horizontal="center"/>
      <protection locked="0"/>
    </xf>
    <xf numFmtId="0" fontId="5" fillId="2" borderId="8" xfId="0" applyNumberFormat="1" applyFont="1" applyFill="1" applyBorder="1" applyAlignment="1" applyProtection="1">
      <alignment horizontal="center" vertical="center" wrapText="1"/>
      <protection locked="0"/>
    </xf>
    <xf numFmtId="0" fontId="5" fillId="5" borderId="4" xfId="0" applyNumberFormat="1" applyFont="1" applyFill="1" applyBorder="1" applyAlignment="1" applyProtection="1">
      <alignment horizontal="center"/>
      <protection/>
    </xf>
    <xf numFmtId="0" fontId="7" fillId="0" borderId="0" xfId="0" applyFont="1" applyBorder="1" applyAlignment="1">
      <alignment/>
    </xf>
    <xf numFmtId="0" fontId="12" fillId="0" borderId="0" xfId="0" applyNumberFormat="1" applyFont="1" applyFill="1" applyBorder="1" applyAlignment="1" applyProtection="1">
      <alignment horizontal="center"/>
      <protection/>
    </xf>
    <xf numFmtId="0" fontId="1" fillId="6" borderId="9" xfId="0" applyNumberFormat="1" applyFont="1" applyFill="1" applyBorder="1" applyAlignment="1" applyProtection="1">
      <alignment/>
      <protection/>
    </xf>
    <xf numFmtId="0" fontId="19" fillId="7" borderId="2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1" fillId="7" borderId="9" xfId="0" applyNumberFormat="1" applyFont="1" applyFill="1" applyBorder="1" applyAlignment="1" applyProtection="1">
      <alignment/>
      <protection/>
    </xf>
    <xf numFmtId="0" fontId="1" fillId="4" borderId="0" xfId="0" applyNumberFormat="1" applyFont="1" applyFill="1" applyBorder="1" applyAlignment="1" applyProtection="1">
      <alignment/>
      <protection/>
    </xf>
    <xf numFmtId="0" fontId="19" fillId="6" borderId="2" xfId="0" applyNumberFormat="1" applyFont="1" applyFill="1" applyBorder="1" applyAlignment="1" applyProtection="1">
      <alignment horizontal="center"/>
      <protection/>
    </xf>
    <xf numFmtId="0" fontId="20" fillId="8" borderId="2" xfId="0" applyNumberFormat="1" applyFont="1" applyFill="1" applyBorder="1" applyAlignment="1" applyProtection="1">
      <alignment horizontal="right"/>
      <protection/>
    </xf>
    <xf numFmtId="0" fontId="20" fillId="8" borderId="10" xfId="0" applyNumberFormat="1" applyFont="1" applyFill="1" applyBorder="1" applyAlignment="1" applyProtection="1">
      <alignment horizontal="center"/>
      <protection/>
    </xf>
    <xf numFmtId="0" fontId="20" fillId="8" borderId="3" xfId="0" applyNumberFormat="1" applyFont="1" applyFill="1" applyBorder="1" applyAlignment="1" applyProtection="1">
      <alignment horizontal="center"/>
      <protection/>
    </xf>
    <xf numFmtId="0" fontId="5" fillId="5" borderId="0" xfId="0" applyNumberFormat="1" applyFont="1" applyFill="1" applyBorder="1" applyAlignment="1" applyProtection="1">
      <alignment horizontal="center"/>
      <protection/>
    </xf>
    <xf numFmtId="0" fontId="5" fillId="5" borderId="11" xfId="0" applyNumberFormat="1" applyFont="1" applyFill="1" applyBorder="1" applyAlignment="1" applyProtection="1">
      <alignment horizontal="center"/>
      <protection/>
    </xf>
    <xf numFmtId="0" fontId="1" fillId="9" borderId="6" xfId="0" applyNumberFormat="1" applyFont="1" applyFill="1" applyBorder="1" applyAlignment="1" applyProtection="1">
      <alignment horizontal="center"/>
      <protection/>
    </xf>
    <xf numFmtId="0" fontId="1" fillId="9" borderId="12" xfId="0" applyNumberFormat="1" applyFont="1" applyFill="1" applyBorder="1" applyAlignment="1" applyProtection="1">
      <alignment horizontal="center"/>
      <protection/>
    </xf>
    <xf numFmtId="0" fontId="1" fillId="9" borderId="9" xfId="0" applyNumberFormat="1" applyFont="1" applyFill="1" applyBorder="1" applyAlignment="1" applyProtection="1">
      <alignment horizontal="center"/>
      <protection/>
    </xf>
    <xf numFmtId="0" fontId="1" fillId="5" borderId="6" xfId="0" applyNumberFormat="1" applyFont="1" applyFill="1" applyBorder="1" applyAlignment="1" applyProtection="1">
      <alignment horizontal="center"/>
      <protection/>
    </xf>
    <xf numFmtId="0" fontId="1" fillId="5" borderId="12" xfId="0" applyNumberFormat="1" applyFont="1" applyFill="1" applyBorder="1" applyAlignment="1" applyProtection="1">
      <alignment horizontal="center"/>
      <protection/>
    </xf>
    <xf numFmtId="0" fontId="1" fillId="5" borderId="9" xfId="0" applyNumberFormat="1" applyFont="1" applyFill="1" applyBorder="1" applyAlignment="1" applyProtection="1">
      <alignment horizontal="center"/>
      <protection/>
    </xf>
    <xf numFmtId="0" fontId="11" fillId="10" borderId="13" xfId="0" applyNumberFormat="1" applyFont="1" applyFill="1" applyBorder="1" applyAlignment="1" applyProtection="1">
      <alignment horizontal="center" wrapText="1"/>
      <protection/>
    </xf>
    <xf numFmtId="0" fontId="11" fillId="10" borderId="14" xfId="0" applyNumberFormat="1" applyFont="1" applyFill="1" applyBorder="1" applyAlignment="1" applyProtection="1">
      <alignment horizontal="center"/>
      <protection/>
    </xf>
    <xf numFmtId="0" fontId="11" fillId="10" borderId="15" xfId="0" applyNumberFormat="1" applyFont="1" applyFill="1" applyBorder="1" applyAlignment="1" applyProtection="1">
      <alignment horizontal="center"/>
      <protection/>
    </xf>
    <xf numFmtId="0" fontId="11" fillId="10" borderId="16" xfId="0" applyNumberFormat="1" applyFont="1" applyFill="1" applyBorder="1" applyAlignment="1" applyProtection="1">
      <alignment horizontal="center"/>
      <protection/>
    </xf>
    <xf numFmtId="0" fontId="11" fillId="10" borderId="0" xfId="0" applyNumberFormat="1" applyFont="1" applyFill="1" applyBorder="1" applyAlignment="1" applyProtection="1">
      <alignment horizontal="center"/>
      <protection/>
    </xf>
    <xf numFmtId="0" fontId="11" fillId="10" borderId="17" xfId="0" applyNumberFormat="1" applyFont="1" applyFill="1" applyBorder="1" applyAlignment="1" applyProtection="1">
      <alignment horizontal="center"/>
      <protection/>
    </xf>
    <xf numFmtId="0" fontId="11" fillId="10" borderId="18" xfId="0" applyNumberFormat="1" applyFont="1" applyFill="1" applyBorder="1" applyAlignment="1" applyProtection="1">
      <alignment horizontal="center"/>
      <protection/>
    </xf>
    <xf numFmtId="0" fontId="11" fillId="10" borderId="19" xfId="0" applyNumberFormat="1" applyFont="1" applyFill="1" applyBorder="1" applyAlignment="1" applyProtection="1">
      <alignment horizontal="center"/>
      <protection/>
    </xf>
    <xf numFmtId="0" fontId="4" fillId="5" borderId="20" xfId="0" applyNumberFormat="1" applyFont="1" applyFill="1" applyBorder="1" applyAlignment="1" applyProtection="1">
      <alignment horizontal="left"/>
      <protection/>
    </xf>
    <xf numFmtId="0" fontId="4" fillId="5" borderId="21" xfId="0" applyNumberFormat="1" applyFont="1" applyFill="1" applyBorder="1" applyAlignment="1" applyProtection="1">
      <alignment horizontal="left"/>
      <protection/>
    </xf>
    <xf numFmtId="0" fontId="4" fillId="5" borderId="10" xfId="0" applyNumberFormat="1" applyFont="1" applyFill="1" applyBorder="1" applyAlignment="1" applyProtection="1">
      <alignment horizontal="left"/>
      <protection/>
    </xf>
    <xf numFmtId="0" fontId="4" fillId="0" borderId="22" xfId="0" applyNumberFormat="1" applyFont="1" applyFill="1" applyBorder="1" applyAlignment="1" applyProtection="1">
      <alignment horizontal="left"/>
      <protection/>
    </xf>
    <xf numFmtId="0" fontId="4" fillId="0" borderId="23" xfId="0" applyNumberFormat="1" applyFont="1" applyFill="1" applyBorder="1" applyAlignment="1" applyProtection="1">
      <alignment horizontal="left"/>
      <protection/>
    </xf>
    <xf numFmtId="0" fontId="4" fillId="0" borderId="24" xfId="0" applyNumberFormat="1" applyFont="1" applyFill="1" applyBorder="1" applyAlignment="1" applyProtection="1">
      <alignment horizontal="left"/>
      <protection/>
    </xf>
    <xf numFmtId="0" fontId="19" fillId="9" borderId="6" xfId="0" applyNumberFormat="1" applyFont="1" applyFill="1" applyBorder="1" applyAlignment="1" applyProtection="1">
      <alignment horizontal="center"/>
      <protection/>
    </xf>
    <xf numFmtId="0" fontId="19" fillId="9" borderId="12" xfId="0" applyNumberFormat="1" applyFont="1" applyFill="1" applyBorder="1" applyAlignment="1" applyProtection="1">
      <alignment horizontal="center"/>
      <protection/>
    </xf>
    <xf numFmtId="0" fontId="19" fillId="9" borderId="9" xfId="0" applyNumberFormat="1" applyFont="1" applyFill="1" applyBorder="1" applyAlignment="1" applyProtection="1">
      <alignment horizontal="center"/>
      <protection/>
    </xf>
    <xf numFmtId="0" fontId="3" fillId="8" borderId="25" xfId="0" applyNumberFormat="1" applyFont="1" applyFill="1" applyBorder="1" applyAlignment="1" applyProtection="1">
      <alignment horizontal="center" vertical="top" wrapText="1"/>
      <protection/>
    </xf>
    <xf numFmtId="0" fontId="16" fillId="8" borderId="26" xfId="0" applyNumberFormat="1" applyFont="1" applyFill="1" applyBorder="1" applyAlignment="1" applyProtection="1">
      <alignment horizontal="center" vertical="top" wrapText="1"/>
      <protection/>
    </xf>
    <xf numFmtId="0" fontId="16" fillId="8" borderId="27" xfId="0" applyNumberFormat="1" applyFont="1" applyFill="1" applyBorder="1" applyAlignment="1" applyProtection="1">
      <alignment horizontal="center" vertical="top" wrapText="1"/>
      <protection/>
    </xf>
    <xf numFmtId="0" fontId="16" fillId="8" borderId="28" xfId="0" applyNumberFormat="1" applyFont="1" applyFill="1" applyBorder="1" applyAlignment="1" applyProtection="1">
      <alignment horizontal="center" vertical="top" wrapText="1"/>
      <protection/>
    </xf>
    <xf numFmtId="0" fontId="16" fillId="8" borderId="0" xfId="0" applyNumberFormat="1" applyFont="1" applyFill="1" applyBorder="1" applyAlignment="1" applyProtection="1">
      <alignment horizontal="center" vertical="top" wrapText="1"/>
      <protection/>
    </xf>
    <xf numFmtId="0" fontId="16" fillId="8" borderId="11" xfId="0" applyNumberFormat="1" applyFont="1" applyFill="1" applyBorder="1" applyAlignment="1" applyProtection="1">
      <alignment horizontal="center" vertical="top" wrapText="1"/>
      <protection/>
    </xf>
    <xf numFmtId="0" fontId="16" fillId="8" borderId="5" xfId="0" applyNumberFormat="1" applyFont="1" applyFill="1" applyBorder="1" applyAlignment="1" applyProtection="1">
      <alignment horizontal="center" vertical="top" wrapText="1"/>
      <protection/>
    </xf>
    <xf numFmtId="0" fontId="16" fillId="8" borderId="29" xfId="0" applyNumberFormat="1" applyFont="1" applyFill="1" applyBorder="1" applyAlignment="1" applyProtection="1">
      <alignment horizontal="center" vertical="top" wrapText="1"/>
      <protection/>
    </xf>
    <xf numFmtId="0" fontId="16" fillId="8" borderId="30" xfId="0" applyNumberFormat="1" applyFont="1" applyFill="1" applyBorder="1" applyAlignment="1" applyProtection="1">
      <alignment horizontal="center" vertical="top" wrapText="1"/>
      <protection/>
    </xf>
    <xf numFmtId="0" fontId="5" fillId="5" borderId="6" xfId="0" applyNumberFormat="1" applyFont="1" applyFill="1" applyBorder="1" applyAlignment="1" applyProtection="1">
      <alignment horizontal="center"/>
      <protection/>
    </xf>
    <xf numFmtId="0" fontId="5" fillId="5" borderId="12" xfId="0" applyNumberFormat="1" applyFont="1" applyFill="1" applyBorder="1" applyAlignment="1" applyProtection="1">
      <alignment horizontal="center"/>
      <protection/>
    </xf>
    <xf numFmtId="0" fontId="5" fillId="5" borderId="9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/>
      <protection/>
    </xf>
    <xf numFmtId="0" fontId="4" fillId="5" borderId="31" xfId="0" applyNumberFormat="1" applyFont="1" applyFill="1" applyBorder="1" applyAlignment="1" applyProtection="1">
      <alignment horizontal="left"/>
      <protection/>
    </xf>
    <xf numFmtId="0" fontId="4" fillId="5" borderId="32" xfId="0" applyNumberFormat="1" applyFont="1" applyFill="1" applyBorder="1" applyAlignment="1" applyProtection="1">
      <alignment horizontal="left"/>
      <protection/>
    </xf>
    <xf numFmtId="0" fontId="4" fillId="5" borderId="33" xfId="0" applyNumberFormat="1" applyFont="1" applyFill="1" applyBorder="1" applyAlignment="1" applyProtection="1">
      <alignment horizontal="left"/>
      <protection/>
    </xf>
    <xf numFmtId="0" fontId="4" fillId="0" borderId="31" xfId="0" applyNumberFormat="1" applyFont="1" applyFill="1" applyBorder="1" applyAlignment="1" applyProtection="1">
      <alignment horizontal="left"/>
      <protection/>
    </xf>
    <xf numFmtId="0" fontId="4" fillId="0" borderId="32" xfId="0" applyNumberFormat="1" applyFont="1" applyFill="1" applyBorder="1" applyAlignment="1" applyProtection="1">
      <alignment horizontal="left"/>
      <protection/>
    </xf>
    <xf numFmtId="0" fontId="4" fillId="0" borderId="33" xfId="0" applyNumberFormat="1" applyFont="1" applyFill="1" applyBorder="1" applyAlignment="1" applyProtection="1">
      <alignment horizontal="left"/>
      <protection/>
    </xf>
    <xf numFmtId="0" fontId="11" fillId="4" borderId="31" xfId="0" applyNumberFormat="1" applyFont="1" applyFill="1" applyBorder="1" applyAlignment="1" applyProtection="1">
      <alignment horizontal="left"/>
      <protection/>
    </xf>
    <xf numFmtId="0" fontId="11" fillId="4" borderId="32" xfId="0" applyNumberFormat="1" applyFont="1" applyFill="1" applyBorder="1" applyAlignment="1" applyProtection="1">
      <alignment horizontal="left"/>
      <protection/>
    </xf>
    <xf numFmtId="0" fontId="11" fillId="4" borderId="34" xfId="0" applyNumberFormat="1" applyFont="1" applyFill="1" applyBorder="1" applyAlignment="1" applyProtection="1">
      <alignment horizontal="left"/>
      <protection/>
    </xf>
    <xf numFmtId="0" fontId="5" fillId="5" borderId="2" xfId="0" applyNumberFormat="1" applyFont="1" applyFill="1" applyBorder="1" applyAlignment="1" applyProtection="1">
      <alignment horizontal="left" vertical="center" wrapText="1"/>
      <protection/>
    </xf>
    <xf numFmtId="0" fontId="4" fillId="4" borderId="35" xfId="0" applyNumberFormat="1" applyFont="1" applyFill="1" applyBorder="1" applyAlignment="1" applyProtection="1">
      <alignment horizontal="left" vertical="center" wrapText="1"/>
      <protection/>
    </xf>
    <xf numFmtId="0" fontId="4" fillId="4" borderId="29" xfId="0" applyNumberFormat="1" applyFont="1" applyFill="1" applyBorder="1" applyAlignment="1" applyProtection="1">
      <alignment horizontal="left" vertical="center" wrapText="1"/>
      <protection/>
    </xf>
    <xf numFmtId="0" fontId="4" fillId="4" borderId="30" xfId="0" applyNumberFormat="1" applyFont="1" applyFill="1" applyBorder="1" applyAlignment="1" applyProtection="1">
      <alignment horizontal="left" vertical="center" wrapText="1"/>
      <protection/>
    </xf>
    <xf numFmtId="0" fontId="4" fillId="11" borderId="6" xfId="0" applyNumberFormat="1" applyFont="1" applyFill="1" applyBorder="1" applyAlignment="1" applyProtection="1">
      <alignment horizontal="center"/>
      <protection/>
    </xf>
    <xf numFmtId="0" fontId="4" fillId="11" borderId="12" xfId="0" applyNumberFormat="1" applyFont="1" applyFill="1" applyBorder="1" applyAlignment="1" applyProtection="1">
      <alignment horizontal="center"/>
      <protection/>
    </xf>
    <xf numFmtId="0" fontId="4" fillId="11" borderId="9" xfId="0" applyNumberFormat="1" applyFont="1" applyFill="1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53"/>
  <sheetViews>
    <sheetView tabSelected="1" zoomScaleSheetLayoutView="1" workbookViewId="0" topLeftCell="A1">
      <pane ySplit="12" topLeftCell="BM36" activePane="bottomLeft" state="frozen"/>
      <selection pane="topLeft" activeCell="K5" sqref="K5"/>
      <selection pane="topLeft" activeCell="A1" sqref="A1"/>
      <selection pane="bottomLeft" activeCell="E5" sqref="E5"/>
    </sheetView>
  </sheetViews>
  <sheetFormatPr defaultColWidth="9.140625" defaultRowHeight="11.25" customHeight="1"/>
  <cols>
    <col min="1" max="1" width="8.00390625" style="7" customWidth="1"/>
    <col min="2" max="2" width="10.7109375" style="7" customWidth="1"/>
    <col min="3" max="3" width="9.7109375" style="7" customWidth="1"/>
    <col min="4" max="4" width="9.421875" style="7" customWidth="1"/>
    <col min="5" max="6" width="10.57421875" style="7" customWidth="1"/>
    <col min="7" max="7" width="9.28125" style="7" customWidth="1"/>
    <col min="8" max="8" width="9.7109375" style="7" customWidth="1"/>
    <col min="9" max="9" width="10.7109375" style="7" customWidth="1"/>
    <col min="10" max="10" width="10.00390625" style="7" customWidth="1"/>
    <col min="11" max="11" width="9.00390625" style="7" customWidth="1"/>
    <col min="12" max="12" width="8.7109375" style="7" customWidth="1"/>
    <col min="13" max="13" width="8.28125" style="7" customWidth="1"/>
    <col min="14" max="14" width="11.28125" style="7" customWidth="1"/>
    <col min="15" max="15" width="10.7109375" style="7" customWidth="1"/>
    <col min="16" max="16" width="5.140625" style="7" hidden="1" customWidth="1"/>
    <col min="17" max="17" width="7.00390625" style="7" hidden="1" customWidth="1"/>
    <col min="18" max="18" width="0.71875" style="7" hidden="1" customWidth="1"/>
    <col min="19" max="26" width="9.140625" style="7" customWidth="1"/>
    <col min="27" max="16384" width="9.140625" style="9" customWidth="1"/>
  </cols>
  <sheetData>
    <row r="1" spans="1:17" ht="11.25" customHeight="1">
      <c r="A1" s="68" t="s">
        <v>27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70"/>
      <c r="P1" s="1"/>
      <c r="Q1" s="8"/>
    </row>
    <row r="2" spans="1:17" ht="11.25" customHeight="1">
      <c r="A2" s="71"/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3"/>
      <c r="P2" s="1"/>
      <c r="Q2" s="8"/>
    </row>
    <row r="3" spans="1:17" ht="11.25" customHeight="1" thickBot="1">
      <c r="A3" s="74"/>
      <c r="B3" s="75"/>
      <c r="C3" s="75"/>
      <c r="D3" s="75"/>
      <c r="E3" s="75"/>
      <c r="F3" s="75"/>
      <c r="G3" s="75"/>
      <c r="H3" s="75"/>
      <c r="I3" s="72"/>
      <c r="J3" s="72"/>
      <c r="K3" s="72"/>
      <c r="L3" s="72"/>
      <c r="M3" s="72"/>
      <c r="N3" s="72"/>
      <c r="O3" s="73"/>
      <c r="P3" s="1"/>
      <c r="Q3" s="8"/>
    </row>
    <row r="4" spans="1:17" ht="11.25" customHeight="1">
      <c r="A4" s="76" t="s">
        <v>29</v>
      </c>
      <c r="B4" s="77"/>
      <c r="C4" s="77"/>
      <c r="D4" s="78"/>
      <c r="E4" s="32">
        <v>39122</v>
      </c>
      <c r="F4" s="42"/>
      <c r="G4" s="25" t="s">
        <v>11</v>
      </c>
      <c r="H4" s="30" t="s">
        <v>12</v>
      </c>
      <c r="I4" s="85" t="s">
        <v>33</v>
      </c>
      <c r="J4" s="86"/>
      <c r="K4" s="86"/>
      <c r="L4" s="86"/>
      <c r="M4" s="86"/>
      <c r="N4" s="86"/>
      <c r="O4" s="87"/>
      <c r="P4" s="1"/>
      <c r="Q4" s="8"/>
    </row>
    <row r="5" spans="1:17" ht="11.25" customHeight="1">
      <c r="A5" s="79" t="s">
        <v>28</v>
      </c>
      <c r="B5" s="80"/>
      <c r="C5" s="80"/>
      <c r="D5" s="81"/>
      <c r="E5" s="26">
        <v>9100</v>
      </c>
      <c r="F5" s="43"/>
      <c r="G5" s="17" t="s">
        <v>20</v>
      </c>
      <c r="H5" s="31">
        <v>2</v>
      </c>
      <c r="I5" s="88"/>
      <c r="J5" s="89"/>
      <c r="K5" s="89"/>
      <c r="L5" s="89"/>
      <c r="M5" s="89"/>
      <c r="N5" s="89"/>
      <c r="O5" s="90"/>
      <c r="P5" s="8"/>
      <c r="Q5" s="10"/>
    </row>
    <row r="6" spans="1:26" ht="11.25" customHeight="1">
      <c r="A6" s="76" t="s">
        <v>18</v>
      </c>
      <c r="B6" s="77"/>
      <c r="C6" s="77"/>
      <c r="D6" s="78"/>
      <c r="E6" s="26">
        <v>30</v>
      </c>
      <c r="F6" s="43"/>
      <c r="G6" s="16" t="s">
        <v>10</v>
      </c>
      <c r="H6" s="31">
        <v>6</v>
      </c>
      <c r="I6" s="88"/>
      <c r="J6" s="89"/>
      <c r="K6" s="89"/>
      <c r="L6" s="89"/>
      <c r="M6" s="89"/>
      <c r="N6" s="89"/>
      <c r="O6" s="90"/>
      <c r="P6" s="8"/>
      <c r="V6" s="33"/>
      <c r="W6" s="33"/>
      <c r="X6" s="33"/>
      <c r="Y6" s="33"/>
      <c r="Z6" s="33"/>
    </row>
    <row r="7" spans="1:26" ht="11.25" customHeight="1">
      <c r="A7" s="101" t="s">
        <v>8</v>
      </c>
      <c r="B7" s="102"/>
      <c r="C7" s="102"/>
      <c r="D7" s="103"/>
      <c r="E7" s="27">
        <v>9</v>
      </c>
      <c r="F7" s="44"/>
      <c r="G7" s="16" t="s">
        <v>19</v>
      </c>
      <c r="H7" s="31">
        <v>9</v>
      </c>
      <c r="I7" s="88"/>
      <c r="J7" s="89"/>
      <c r="K7" s="89"/>
      <c r="L7" s="89"/>
      <c r="M7" s="89"/>
      <c r="N7" s="89"/>
      <c r="O7" s="90"/>
      <c r="P7" s="8"/>
      <c r="V7" s="33"/>
      <c r="W7" s="33"/>
      <c r="X7" s="33"/>
      <c r="Y7" s="33"/>
      <c r="Z7" s="33"/>
    </row>
    <row r="8" spans="1:26" ht="11.25" customHeight="1">
      <c r="A8" s="98" t="s">
        <v>16</v>
      </c>
      <c r="B8" s="99"/>
      <c r="C8" s="99"/>
      <c r="D8" s="100"/>
      <c r="E8" s="36">
        <v>275</v>
      </c>
      <c r="F8" s="37"/>
      <c r="G8" s="16" t="s">
        <v>9</v>
      </c>
      <c r="H8" s="31">
        <v>12</v>
      </c>
      <c r="I8" s="88"/>
      <c r="J8" s="89"/>
      <c r="K8" s="89"/>
      <c r="L8" s="89"/>
      <c r="M8" s="89"/>
      <c r="N8" s="89"/>
      <c r="O8" s="90"/>
      <c r="P8" s="8"/>
      <c r="V8" s="33"/>
      <c r="W8" s="33"/>
      <c r="X8" s="33"/>
      <c r="Y8" s="33"/>
      <c r="Z8" s="33"/>
    </row>
    <row r="9" spans="1:26" ht="11.25" customHeight="1">
      <c r="A9" s="104" t="s">
        <v>26</v>
      </c>
      <c r="B9" s="105"/>
      <c r="C9" s="105"/>
      <c r="D9" s="106"/>
      <c r="E9" s="28" t="s">
        <v>25</v>
      </c>
      <c r="F9" s="45"/>
      <c r="G9" s="16" t="s">
        <v>17</v>
      </c>
      <c r="H9" s="31">
        <v>16</v>
      </c>
      <c r="I9" s="91"/>
      <c r="J9" s="92"/>
      <c r="K9" s="92"/>
      <c r="L9" s="92"/>
      <c r="M9" s="92"/>
      <c r="N9" s="92"/>
      <c r="O9" s="93"/>
      <c r="P9" s="8"/>
      <c r="V9" s="33"/>
      <c r="W9" s="33"/>
      <c r="X9" s="33"/>
      <c r="Y9" s="33"/>
      <c r="Z9" s="33"/>
    </row>
    <row r="10" spans="1:26" ht="11.25" customHeight="1">
      <c r="A10" s="107" t="s">
        <v>7</v>
      </c>
      <c r="B10" s="107"/>
      <c r="C10" s="107"/>
      <c r="D10" s="107"/>
      <c r="E10" s="29">
        <v>30</v>
      </c>
      <c r="F10" s="46"/>
      <c r="G10" s="46"/>
      <c r="H10"/>
      <c r="I10" s="108" t="s">
        <v>15</v>
      </c>
      <c r="J10" s="109"/>
      <c r="K10" s="109"/>
      <c r="L10" s="109"/>
      <c r="M10" s="109"/>
      <c r="N10" s="110"/>
      <c r="O10" s="47">
        <v>3200</v>
      </c>
      <c r="P10" s="8"/>
      <c r="V10" s="33"/>
      <c r="W10" s="33"/>
      <c r="X10" s="33"/>
      <c r="Y10" s="33"/>
      <c r="Z10" s="33"/>
    </row>
    <row r="11" spans="1:25" ht="11.25" customHeight="1">
      <c r="A11" s="111" t="s">
        <v>30</v>
      </c>
      <c r="B11" s="112"/>
      <c r="C11" s="112"/>
      <c r="D11" s="112"/>
      <c r="E11" s="112"/>
      <c r="F11" s="112"/>
      <c r="G11" s="112"/>
      <c r="H11" s="113"/>
      <c r="I11" s="94" t="s">
        <v>22</v>
      </c>
      <c r="J11" s="95"/>
      <c r="K11" s="95"/>
      <c r="L11" s="95"/>
      <c r="M11" s="95"/>
      <c r="N11" s="95"/>
      <c r="O11" s="96"/>
      <c r="S11" s="8"/>
      <c r="T11" s="8"/>
      <c r="U11" s="8"/>
      <c r="V11" s="8"/>
      <c r="W11" s="8"/>
      <c r="X11" s="8"/>
      <c r="Y11" s="8"/>
    </row>
    <row r="12" spans="1:30" ht="11.25" customHeight="1">
      <c r="A12" s="22"/>
      <c r="B12" s="23" t="s">
        <v>0</v>
      </c>
      <c r="C12" s="23" t="s">
        <v>1</v>
      </c>
      <c r="D12" s="23" t="s">
        <v>21</v>
      </c>
      <c r="E12" s="23" t="s">
        <v>2</v>
      </c>
      <c r="F12" s="23" t="s">
        <v>34</v>
      </c>
      <c r="G12" s="23" t="s">
        <v>4</v>
      </c>
      <c r="H12" s="23" t="s">
        <v>3</v>
      </c>
      <c r="I12" s="38" t="s">
        <v>23</v>
      </c>
      <c r="J12" s="38" t="s">
        <v>24</v>
      </c>
      <c r="K12" s="38" t="s">
        <v>2</v>
      </c>
      <c r="L12" s="38" t="s">
        <v>4</v>
      </c>
      <c r="M12" s="38" t="s">
        <v>34</v>
      </c>
      <c r="N12" s="38" t="s">
        <v>5</v>
      </c>
      <c r="O12" s="48" t="s">
        <v>14</v>
      </c>
      <c r="S12" s="8"/>
      <c r="T12" s="8"/>
      <c r="U12" s="8"/>
      <c r="V12" s="8"/>
      <c r="W12" s="8"/>
      <c r="X12" s="8"/>
      <c r="Y12" s="8"/>
      <c r="Z12" s="8"/>
      <c r="AA12" s="18"/>
      <c r="AB12" s="18"/>
      <c r="AC12" s="18"/>
      <c r="AD12" s="18"/>
    </row>
    <row r="13" spans="1:30" ht="11.25" customHeight="1">
      <c r="A13" s="20">
        <v>38718</v>
      </c>
      <c r="B13" s="21">
        <f>IF(U13=0,0,IF(T13=0,INT((V13-S13)*U13/V13+0.5),U13))</f>
        <v>0</v>
      </c>
      <c r="C13" s="21">
        <f>IF(T13=0,IF(T14=1,INT((V13-S13)*6000/V13+0.5),0),6000)</f>
        <v>0</v>
      </c>
      <c r="D13" s="21">
        <f aca="true" t="shared" si="0" ref="D13:D48">C13+B13</f>
        <v>0</v>
      </c>
      <c r="E13" s="21">
        <f aca="true" t="shared" si="1" ref="E13:E18">INT(D13*0/100+0.5)</f>
        <v>0</v>
      </c>
      <c r="F13" s="21"/>
      <c r="G13" s="21"/>
      <c r="H13" s="21">
        <f>D13+E13+F13+G13</f>
        <v>0</v>
      </c>
      <c r="I13" s="21">
        <f>IF($T13=0,IF($T14=1,INT($E$5*($V13-$S13)/$V13+0.5),0),IF($X13=0,I11+$E$8,IF($S11=0,I11,$E$5)))</f>
        <v>0</v>
      </c>
      <c r="J13" s="21">
        <f aca="true" t="shared" si="2" ref="J13:J48">INT(I13/2+0.5)</f>
        <v>0</v>
      </c>
      <c r="K13" s="21">
        <f aca="true" t="shared" si="3" ref="K13:K18">INT((I13+J13)*24/100+0.5)</f>
        <v>0</v>
      </c>
      <c r="L13" s="21"/>
      <c r="M13" s="21"/>
      <c r="N13" s="21">
        <f>K13+J13+I13+L13+M13</f>
        <v>0</v>
      </c>
      <c r="O13" s="21">
        <f aca="true" t="shared" si="4" ref="O13:O48">H13-N13</f>
        <v>0</v>
      </c>
      <c r="S13" s="34">
        <f>IF(AND(T13=0,T14=1),$E$4-A13,0)</f>
        <v>0</v>
      </c>
      <c r="T13" s="8">
        <f>IF($E$4-A13&gt;=0,0,1)</f>
        <v>0</v>
      </c>
      <c r="U13" s="50">
        <f>IF(AND(T13=0,T14=1),LOOKUP($E$5,table!A$1:A$206,table!B$1:B$206),0)</f>
        <v>0</v>
      </c>
      <c r="V13" s="8">
        <v>31</v>
      </c>
      <c r="W13" s="8"/>
      <c r="X13" s="35">
        <f>IF(($E$7-Z13)=0,0,1)</f>
        <v>1</v>
      </c>
      <c r="Y13" s="8">
        <v>13</v>
      </c>
      <c r="Z13" s="8">
        <v>1</v>
      </c>
      <c r="AA13" s="49">
        <v>1</v>
      </c>
      <c r="AB13" s="49">
        <v>1</v>
      </c>
      <c r="AC13" s="49"/>
      <c r="AD13" s="49"/>
    </row>
    <row r="14" spans="1:30" ht="11.25" customHeight="1">
      <c r="A14" s="12">
        <v>38749</v>
      </c>
      <c r="B14" s="21">
        <f aca="true" t="shared" si="5" ref="B14:B48">IF(U14=0,0,IF(T14=0,INT((V14-S14)*U14/V14+0.5),U14))</f>
        <v>0</v>
      </c>
      <c r="C14" s="21">
        <f aca="true" t="shared" si="6" ref="C14:C48">IF(T14=0,IF(T15=1,INT((V14-S14)*6000/V14+0.5),0),6000)</f>
        <v>0</v>
      </c>
      <c r="D14" s="13">
        <f t="shared" si="0"/>
        <v>0</v>
      </c>
      <c r="E14" s="13">
        <f t="shared" si="1"/>
        <v>0</v>
      </c>
      <c r="F14" s="13"/>
      <c r="G14" s="13"/>
      <c r="H14" s="21">
        <f aca="true" t="shared" si="7" ref="H14:H48">D14+E14+F14+G14</f>
        <v>0</v>
      </c>
      <c r="I14" s="21">
        <f aca="true" t="shared" si="8" ref="I14:I24">IF($T14=0,IF($T15=1,INT($E$5*($V14-$S14)/$V14+0.5),0),IF($X14=0,I13+$E$8,IF($S13=0,I13,$E$5)))</f>
        <v>0</v>
      </c>
      <c r="J14" s="13">
        <f>INT(I14/2+0.5)</f>
        <v>0</v>
      </c>
      <c r="K14" s="13">
        <f>INT((I14+J14)*24/100+0.5)</f>
        <v>0</v>
      </c>
      <c r="L14" s="13"/>
      <c r="M14" s="13"/>
      <c r="N14" s="21">
        <f aca="true" t="shared" si="9" ref="N14:N48">K14+J14+I14+L14+M14</f>
        <v>0</v>
      </c>
      <c r="O14" s="13">
        <f t="shared" si="4"/>
        <v>0</v>
      </c>
      <c r="P14" s="11"/>
      <c r="Q14" s="14"/>
      <c r="R14" s="11"/>
      <c r="S14" s="34">
        <f>IF(AND(T14=0,T15=1),$E$4-A14,0)</f>
        <v>0</v>
      </c>
      <c r="T14" s="8">
        <f aca="true" t="shared" si="10" ref="T14:T48">IF($E$4-A14&gt;=0,0,1)</f>
        <v>0</v>
      </c>
      <c r="U14" s="50">
        <f>IF(AND(T14=0,T15=1),LOOKUP($E$5,table!A$1:A$206,table!B$1:B$206),IF(T14=1,U13,0))</f>
        <v>0</v>
      </c>
      <c r="V14" s="8">
        <v>28</v>
      </c>
      <c r="W14" s="8">
        <f>IF($E$4&gt;=19560,1,IF(OR(AND($E$4&gt;=18300,#REF!="Y",$E$7&gt;1),AND($E$4&gt;=18300,#REF!="N",$E$7=1)),IF(lecturer!$E$7-lecturer!AA13=0,0,1),IF(OR(AND($E$4&gt;=18300,#REF!="N",$E$7&gt;1),AND($E$4&gt;=18300,#REF!="Y",$E$7=1)),IF(lecturer!$E$7-lecturer!Y13=0,0,1),IF(lecturer!$E$7-lecturer!Z13=0,0,1))))</f>
        <v>1</v>
      </c>
      <c r="X14" s="35">
        <f aca="true" t="shared" si="11" ref="X14:X44">IF(($E$7-Z14)=0,0,1)</f>
        <v>1</v>
      </c>
      <c r="Y14" s="8">
        <v>14</v>
      </c>
      <c r="Z14" s="8">
        <v>2</v>
      </c>
      <c r="AA14" s="49">
        <f>AA13+1</f>
        <v>2</v>
      </c>
      <c r="AB14" s="49">
        <f>AB13+1</f>
        <v>2</v>
      </c>
      <c r="AC14" s="49"/>
      <c r="AD14" s="49"/>
    </row>
    <row r="15" spans="1:30" ht="11.25" customHeight="1">
      <c r="A15" s="12">
        <v>38777</v>
      </c>
      <c r="B15" s="21">
        <f t="shared" si="5"/>
        <v>0</v>
      </c>
      <c r="C15" s="21">
        <f t="shared" si="6"/>
        <v>0</v>
      </c>
      <c r="D15" s="13">
        <f t="shared" si="0"/>
        <v>0</v>
      </c>
      <c r="E15" s="13">
        <f t="shared" si="1"/>
        <v>0</v>
      </c>
      <c r="F15" s="13"/>
      <c r="G15" s="13"/>
      <c r="H15" s="21">
        <f t="shared" si="7"/>
        <v>0</v>
      </c>
      <c r="I15" s="21">
        <f t="shared" si="8"/>
        <v>0</v>
      </c>
      <c r="J15" s="13">
        <f t="shared" si="2"/>
        <v>0</v>
      </c>
      <c r="K15" s="13">
        <f t="shared" si="3"/>
        <v>0</v>
      </c>
      <c r="L15" s="13"/>
      <c r="M15" s="13"/>
      <c r="N15" s="21">
        <f t="shared" si="9"/>
        <v>0</v>
      </c>
      <c r="O15" s="13">
        <f t="shared" si="4"/>
        <v>0</v>
      </c>
      <c r="P15" s="8"/>
      <c r="Q15" s="8"/>
      <c r="R15" s="11"/>
      <c r="S15" s="34">
        <f>IF(AND(T15=0,T16=1),$E$4-A15,0)</f>
        <v>0</v>
      </c>
      <c r="T15" s="8">
        <f t="shared" si="10"/>
        <v>0</v>
      </c>
      <c r="U15" s="50">
        <f>IF(AND(T15=0,T16=1),LOOKUP($E$5,table!A$1:A$206,table!B$1:B$206),IF(T15=1,U14,0))</f>
        <v>0</v>
      </c>
      <c r="V15" s="8">
        <v>31</v>
      </c>
      <c r="W15" s="8">
        <f>IF($E$4&gt;=19560,1,IF(OR(AND($E$4&gt;=18300,#REF!="Y",$E$7&gt;1),AND($E$4&gt;=18300,#REF!="N",$E$7=1)),IF(lecturer!$E$7-lecturer!AA14=0,0,1),IF(OR(AND($E$4&gt;=18300,#REF!="N",$E$7&gt;1),AND($E$4&gt;=18300,#REF!="Y",$E$7=1)),IF(lecturer!$E$7-lecturer!Y14=0,0,1),IF(lecturer!$E$7-lecturer!Z14=0,0,1))))</f>
        <v>1</v>
      </c>
      <c r="X15" s="35">
        <f t="shared" si="11"/>
        <v>1</v>
      </c>
      <c r="Y15" s="8">
        <v>15</v>
      </c>
      <c r="Z15" s="8">
        <v>3</v>
      </c>
      <c r="AA15" s="49">
        <f aca="true" t="shared" si="12" ref="AA15:AA36">AA14+1</f>
        <v>3</v>
      </c>
      <c r="AB15" s="49">
        <f aca="true" t="shared" si="13" ref="AB15:AB44">AB14+1</f>
        <v>3</v>
      </c>
      <c r="AC15" s="49"/>
      <c r="AD15" s="49"/>
    </row>
    <row r="16" spans="1:30" ht="11.25" customHeight="1">
      <c r="A16" s="12">
        <v>38808</v>
      </c>
      <c r="B16" s="21">
        <f t="shared" si="5"/>
        <v>0</v>
      </c>
      <c r="C16" s="21">
        <f>IF(T16=0,IF(T17=1,INT((V16-S16)*6000/V16+0.5),0),6000)</f>
        <v>0</v>
      </c>
      <c r="D16" s="13">
        <f t="shared" si="0"/>
        <v>0</v>
      </c>
      <c r="E16" s="13">
        <f t="shared" si="1"/>
        <v>0</v>
      </c>
      <c r="F16" s="13"/>
      <c r="G16" s="13"/>
      <c r="H16" s="21">
        <f t="shared" si="7"/>
        <v>0</v>
      </c>
      <c r="I16" s="21">
        <f t="shared" si="8"/>
        <v>0</v>
      </c>
      <c r="J16" s="13">
        <f>INT(I16/2+0.5)</f>
        <v>0</v>
      </c>
      <c r="K16" s="13">
        <f>INT((I16+J16)*24/100+0.5)</f>
        <v>0</v>
      </c>
      <c r="L16" s="13"/>
      <c r="M16" s="13"/>
      <c r="N16" s="21">
        <f t="shared" si="9"/>
        <v>0</v>
      </c>
      <c r="O16" s="13">
        <f t="shared" si="4"/>
        <v>0</v>
      </c>
      <c r="P16" s="8"/>
      <c r="Q16" s="8"/>
      <c r="R16" s="11"/>
      <c r="S16" s="34">
        <f>IF(AND(T16=0,T17=1),$E$4-A16,0)</f>
        <v>0</v>
      </c>
      <c r="T16" s="8">
        <f t="shared" si="10"/>
        <v>0</v>
      </c>
      <c r="U16" s="50">
        <f>IF(AND(T16=0,T17=1),LOOKUP($E$5,table!A$1:A$206,table!B$1:B$206),IF(T16=1,U15,0))</f>
        <v>0</v>
      </c>
      <c r="V16" s="8">
        <v>30</v>
      </c>
      <c r="W16" s="8">
        <f>IF($E$4&gt;=19560,1,IF(OR(AND($E$4&gt;=18300,#REF!="Y",$E$7&gt;1),AND($E$4&gt;=18300,#REF!="N",$E$7=1)),IF(lecturer!$E$7-lecturer!AA15=0,0,1),IF(OR(AND($E$4&gt;=18300,#REF!="N",$E$7&gt;1),AND($E$4&gt;=18300,#REF!="Y",$E$7=1)),IF(lecturer!$E$7-lecturer!Y15=0,0,1),IF(lecturer!$E$7-lecturer!Z15=0,0,1))))</f>
        <v>1</v>
      </c>
      <c r="X16" s="35">
        <f t="shared" si="11"/>
        <v>1</v>
      </c>
      <c r="Y16" s="8">
        <v>16</v>
      </c>
      <c r="Z16" s="8">
        <v>4</v>
      </c>
      <c r="AA16" s="49">
        <f t="shared" si="12"/>
        <v>4</v>
      </c>
      <c r="AB16" s="49">
        <f t="shared" si="13"/>
        <v>4</v>
      </c>
      <c r="AC16" s="49"/>
      <c r="AD16" s="49"/>
    </row>
    <row r="17" spans="1:30" ht="11.25" customHeight="1">
      <c r="A17" s="12">
        <v>38838</v>
      </c>
      <c r="B17" s="21">
        <f t="shared" si="5"/>
        <v>0</v>
      </c>
      <c r="C17" s="21">
        <f t="shared" si="6"/>
        <v>0</v>
      </c>
      <c r="D17" s="13">
        <f t="shared" si="0"/>
        <v>0</v>
      </c>
      <c r="E17" s="13">
        <f t="shared" si="1"/>
        <v>0</v>
      </c>
      <c r="F17" s="13"/>
      <c r="G17" s="13"/>
      <c r="H17" s="21">
        <f t="shared" si="7"/>
        <v>0</v>
      </c>
      <c r="I17" s="21">
        <f t="shared" si="8"/>
        <v>0</v>
      </c>
      <c r="J17" s="13">
        <f t="shared" si="2"/>
        <v>0</v>
      </c>
      <c r="K17" s="13">
        <f t="shared" si="3"/>
        <v>0</v>
      </c>
      <c r="L17" s="13"/>
      <c r="M17" s="13"/>
      <c r="N17" s="21">
        <f t="shared" si="9"/>
        <v>0</v>
      </c>
      <c r="O17" s="13">
        <f t="shared" si="4"/>
        <v>0</v>
      </c>
      <c r="P17" s="8"/>
      <c r="Q17" s="14"/>
      <c r="R17" s="11"/>
      <c r="S17" s="34">
        <f>IF(AND(T17=0,T18=1),$E$4-A17,0)</f>
        <v>0</v>
      </c>
      <c r="T17" s="8">
        <f t="shared" si="10"/>
        <v>0</v>
      </c>
      <c r="U17" s="50">
        <f>IF(AND(T17=0,T18=1),LOOKUP($E$5,table!A$1:A$206,table!B$1:B$206),IF(T17=1,U16,0))</f>
        <v>0</v>
      </c>
      <c r="V17" s="8">
        <v>31</v>
      </c>
      <c r="W17" s="8">
        <f>IF($E$4&gt;=19560,1,IF(OR(AND($E$4&gt;=18300,#REF!="Y",$E$7&gt;1),AND($E$4&gt;=18300,#REF!="N",$E$7=1)),IF(lecturer!$E$7-lecturer!AA16=0,0,1),IF(OR(AND($E$4&gt;=18300,#REF!="N",$E$7&gt;1),AND($E$4&gt;=18300,#REF!="Y",$E$7=1)),IF(lecturer!$E$7-lecturer!Y16=0,0,1),IF(lecturer!$E$7-lecturer!Z16=0,0,1))))</f>
        <v>1</v>
      </c>
      <c r="X17" s="35">
        <f t="shared" si="11"/>
        <v>1</v>
      </c>
      <c r="Y17" s="8">
        <v>17</v>
      </c>
      <c r="Z17" s="8">
        <v>5</v>
      </c>
      <c r="AA17" s="49">
        <f>AA16+1</f>
        <v>5</v>
      </c>
      <c r="AB17" s="49">
        <f>AB16+1</f>
        <v>5</v>
      </c>
      <c r="AC17" s="49"/>
      <c r="AD17" s="49"/>
    </row>
    <row r="18" spans="1:30" ht="11.25" customHeight="1">
      <c r="A18" s="12">
        <v>38869</v>
      </c>
      <c r="B18" s="21">
        <f t="shared" si="5"/>
        <v>0</v>
      </c>
      <c r="C18" s="21">
        <f t="shared" si="6"/>
        <v>0</v>
      </c>
      <c r="D18" s="13">
        <f t="shared" si="0"/>
        <v>0</v>
      </c>
      <c r="E18" s="13">
        <f t="shared" si="1"/>
        <v>0</v>
      </c>
      <c r="F18" s="13"/>
      <c r="G18" s="13"/>
      <c r="H18" s="21">
        <f t="shared" si="7"/>
        <v>0</v>
      </c>
      <c r="I18" s="21">
        <f t="shared" si="8"/>
        <v>0</v>
      </c>
      <c r="J18" s="13">
        <f t="shared" si="2"/>
        <v>0</v>
      </c>
      <c r="K18" s="13">
        <f t="shared" si="3"/>
        <v>0</v>
      </c>
      <c r="L18" s="13"/>
      <c r="M18" s="13"/>
      <c r="N18" s="21">
        <f t="shared" si="9"/>
        <v>0</v>
      </c>
      <c r="O18" s="13">
        <f t="shared" si="4"/>
        <v>0</v>
      </c>
      <c r="P18" s="8"/>
      <c r="Q18" s="8"/>
      <c r="R18" s="11"/>
      <c r="S18" s="34">
        <f aca="true" t="shared" si="14" ref="S18:S48">IF(AND(T18=0,T19=1),$E$4-A18,0)</f>
        <v>0</v>
      </c>
      <c r="T18" s="8">
        <f t="shared" si="10"/>
        <v>0</v>
      </c>
      <c r="U18" s="50">
        <f>IF(AND(T18=0,T19=1),LOOKUP($E$5,table!A$1:A$206,table!B$1:B$206),IF(T18=1,U17,0))</f>
        <v>0</v>
      </c>
      <c r="V18" s="8">
        <v>30</v>
      </c>
      <c r="W18" s="8">
        <f>IF($E$4&gt;=19560,1,IF(OR(AND($E$4&gt;=18300,#REF!="Y",$E$7&gt;1),AND($E$4&gt;=18300,#REF!="N",$E$7=1)),IF(lecturer!$E$7-lecturer!AA17=0,0,1),IF(OR(AND($E$4&gt;=18300,#REF!="N",$E$7&gt;1),AND($E$4&gt;=18300,#REF!="Y",$E$7=1)),IF(lecturer!$E$7-lecturer!Y17=0,0,1),IF(lecturer!$E$7-lecturer!Z17=0,0,1))))</f>
        <v>1</v>
      </c>
      <c r="X18" s="35">
        <f t="shared" si="11"/>
        <v>1</v>
      </c>
      <c r="Y18" s="8">
        <v>18</v>
      </c>
      <c r="Z18" s="8">
        <v>6</v>
      </c>
      <c r="AA18" s="49">
        <f t="shared" si="12"/>
        <v>6</v>
      </c>
      <c r="AB18" s="49">
        <f t="shared" si="13"/>
        <v>6</v>
      </c>
      <c r="AC18" s="49"/>
      <c r="AD18" s="49"/>
    </row>
    <row r="19" spans="1:30" ht="11.25" customHeight="1">
      <c r="A19" s="12">
        <v>38899</v>
      </c>
      <c r="B19" s="21">
        <f t="shared" si="5"/>
        <v>0</v>
      </c>
      <c r="C19" s="21">
        <f t="shared" si="6"/>
        <v>0</v>
      </c>
      <c r="D19" s="13">
        <f t="shared" si="0"/>
        <v>0</v>
      </c>
      <c r="E19" s="13">
        <f aca="true" t="shared" si="15" ref="E19:E24">INT(D19*$H$5/100+0.5)</f>
        <v>0</v>
      </c>
      <c r="F19" s="13"/>
      <c r="G19" s="13"/>
      <c r="H19" s="21">
        <f t="shared" si="7"/>
        <v>0</v>
      </c>
      <c r="I19" s="21">
        <f t="shared" si="8"/>
        <v>0</v>
      </c>
      <c r="J19" s="13">
        <f t="shared" si="2"/>
        <v>0</v>
      </c>
      <c r="K19" s="13">
        <f aca="true" t="shared" si="16" ref="K19:K24">INT((I19+J19)*29/100+0.5)</f>
        <v>0</v>
      </c>
      <c r="L19" s="13"/>
      <c r="M19" s="13"/>
      <c r="N19" s="21">
        <f t="shared" si="9"/>
        <v>0</v>
      </c>
      <c r="O19" s="13">
        <f t="shared" si="4"/>
        <v>0</v>
      </c>
      <c r="P19" s="8"/>
      <c r="Q19" s="8"/>
      <c r="R19" s="11"/>
      <c r="S19" s="34">
        <f t="shared" si="14"/>
        <v>0</v>
      </c>
      <c r="T19" s="8">
        <f t="shared" si="10"/>
        <v>0</v>
      </c>
      <c r="U19" s="50">
        <f>IF(AND(T19=0,T20=1),LOOKUP($E$5,table!A$1:A$206,table!B$1:B$206),IF(T19=1,INT((U18+(U18+C19)*0.03)/10+0.99)*10,0))</f>
        <v>0</v>
      </c>
      <c r="V19" s="8">
        <v>31</v>
      </c>
      <c r="W19" s="8">
        <f>IF($E$4&gt;=19560,1,IF(OR(AND($E$4&gt;=18300,#REF!="Y",$E$7&gt;1),AND($E$4&gt;=18300,#REF!="N",$E$7=1)),IF(lecturer!$E$7-lecturer!AA18=0,0,1),IF(OR(AND($E$4&gt;=18300,#REF!="N",$E$7&gt;1),AND($E$4&gt;=18300,#REF!="Y",$E$7=1)),IF(lecturer!$E$7-lecturer!Y18=0,0,1),IF(lecturer!$E$7-lecturer!Z18=0,0,1))))</f>
        <v>1</v>
      </c>
      <c r="X19" s="35">
        <f t="shared" si="11"/>
        <v>1</v>
      </c>
      <c r="Y19" s="8">
        <v>19</v>
      </c>
      <c r="Z19" s="8">
        <v>7</v>
      </c>
      <c r="AA19" s="49">
        <f t="shared" si="12"/>
        <v>7</v>
      </c>
      <c r="AB19" s="49">
        <f t="shared" si="13"/>
        <v>7</v>
      </c>
      <c r="AC19" s="49"/>
      <c r="AD19" s="49"/>
    </row>
    <row r="20" spans="1:30" ht="11.25" customHeight="1">
      <c r="A20" s="12">
        <v>38930</v>
      </c>
      <c r="B20" s="21">
        <f t="shared" si="5"/>
        <v>0</v>
      </c>
      <c r="C20" s="21">
        <f t="shared" si="6"/>
        <v>0</v>
      </c>
      <c r="D20" s="13">
        <f t="shared" si="0"/>
        <v>0</v>
      </c>
      <c r="E20" s="13">
        <f t="shared" si="15"/>
        <v>0</v>
      </c>
      <c r="F20" s="13"/>
      <c r="G20" s="13"/>
      <c r="H20" s="21">
        <f t="shared" si="7"/>
        <v>0</v>
      </c>
      <c r="I20" s="21">
        <f t="shared" si="8"/>
        <v>0</v>
      </c>
      <c r="J20" s="13">
        <f t="shared" si="2"/>
        <v>0</v>
      </c>
      <c r="K20" s="13">
        <f t="shared" si="16"/>
        <v>0</v>
      </c>
      <c r="L20" s="13"/>
      <c r="M20" s="13"/>
      <c r="N20" s="21">
        <f t="shared" si="9"/>
        <v>0</v>
      </c>
      <c r="O20" s="13">
        <f t="shared" si="4"/>
        <v>0</v>
      </c>
      <c r="P20" s="8"/>
      <c r="Q20" s="8"/>
      <c r="R20" s="11"/>
      <c r="S20" s="34">
        <f t="shared" si="14"/>
        <v>0</v>
      </c>
      <c r="T20" s="8">
        <f t="shared" si="10"/>
        <v>0</v>
      </c>
      <c r="U20" s="50">
        <f>IF(AND(T20=0,T21=1),LOOKUP($E$5,table!A$1:A$206,table!B$1:B$206),IF(T20=1,U19,0))</f>
        <v>0</v>
      </c>
      <c r="V20" s="8">
        <v>31</v>
      </c>
      <c r="W20" s="8">
        <f>IF($E$4&gt;=19560,1,IF(OR(AND($E$4&gt;=18300,#REF!="Y",$E$7&gt;1),AND($E$4&gt;=18300,#REF!="N",$E$7=1)),IF(lecturer!$E$7-lecturer!AA19=0,0,1),IF(OR(AND($E$4&gt;=18300,#REF!="N",$E$7&gt;1),AND($E$4&gt;=18300,#REF!="Y",$E$7=1)),IF(lecturer!$E$7-lecturer!Y19=0,0,1),IF(lecturer!$E$7-lecturer!Z19=0,0,1))))</f>
        <v>1</v>
      </c>
      <c r="X20" s="35">
        <f t="shared" si="11"/>
        <v>1</v>
      </c>
      <c r="Y20" s="8">
        <v>20</v>
      </c>
      <c r="Z20" s="8">
        <v>8</v>
      </c>
      <c r="AA20" s="49">
        <f t="shared" si="12"/>
        <v>8</v>
      </c>
      <c r="AB20" s="49">
        <f t="shared" si="13"/>
        <v>8</v>
      </c>
      <c r="AC20" s="49"/>
      <c r="AD20" s="49"/>
    </row>
    <row r="21" spans="1:30" ht="11.25" customHeight="1">
      <c r="A21" s="12">
        <v>38961</v>
      </c>
      <c r="B21" s="21">
        <f t="shared" si="5"/>
        <v>0</v>
      </c>
      <c r="C21" s="21">
        <f t="shared" si="6"/>
        <v>0</v>
      </c>
      <c r="D21" s="13">
        <f t="shared" si="0"/>
        <v>0</v>
      </c>
      <c r="E21" s="13">
        <f t="shared" si="15"/>
        <v>0</v>
      </c>
      <c r="F21" s="13"/>
      <c r="G21" s="13"/>
      <c r="H21" s="21">
        <f t="shared" si="7"/>
        <v>0</v>
      </c>
      <c r="I21" s="21">
        <f t="shared" si="8"/>
        <v>0</v>
      </c>
      <c r="J21" s="13">
        <f t="shared" si="2"/>
        <v>0</v>
      </c>
      <c r="K21" s="13">
        <f>INT((I21+J21)*29/100+0.5)</f>
        <v>0</v>
      </c>
      <c r="L21" s="13"/>
      <c r="M21" s="13"/>
      <c r="N21" s="21">
        <f t="shared" si="9"/>
        <v>0</v>
      </c>
      <c r="O21" s="13">
        <f t="shared" si="4"/>
        <v>0</v>
      </c>
      <c r="P21" s="8"/>
      <c r="Q21" s="8"/>
      <c r="R21" s="11"/>
      <c r="S21" s="34">
        <f t="shared" si="14"/>
        <v>0</v>
      </c>
      <c r="T21" s="8">
        <f t="shared" si="10"/>
        <v>0</v>
      </c>
      <c r="U21" s="50">
        <f>IF(AND(T21=0,T22=1),LOOKUP($E$5,table!A$1:A$206,table!B$1:B$206),IF(T21=1,U20,0))</f>
        <v>0</v>
      </c>
      <c r="V21" s="8">
        <v>30</v>
      </c>
      <c r="W21" s="8">
        <f>IF($E$4&gt;=19560,1,IF(OR(AND($E$4&gt;=18300,#REF!="Y",$E$7&gt;1),AND($E$4&gt;=18300,#REF!="N",$E$7=1)),IF(lecturer!$E$7-lecturer!AA20=0,0,1),IF(OR(AND($E$4&gt;=18300,#REF!="N",$E$7&gt;1),AND($E$4&gt;=18300,#REF!="Y",$E$7=1)),IF(lecturer!$E$7-lecturer!Y20=0,0,1),IF(lecturer!$E$7-lecturer!Z20=0,0,1))))</f>
        <v>1</v>
      </c>
      <c r="X21" s="35">
        <f t="shared" si="11"/>
        <v>0</v>
      </c>
      <c r="Y21" s="8">
        <v>21</v>
      </c>
      <c r="Z21" s="8">
        <v>9</v>
      </c>
      <c r="AA21" s="49">
        <f t="shared" si="12"/>
        <v>9</v>
      </c>
      <c r="AB21" s="49">
        <f t="shared" si="13"/>
        <v>9</v>
      </c>
      <c r="AC21" s="49"/>
      <c r="AD21" s="49"/>
    </row>
    <row r="22" spans="1:30" ht="11.25" customHeight="1">
      <c r="A22" s="12">
        <v>38991</v>
      </c>
      <c r="B22" s="21">
        <f t="shared" si="5"/>
        <v>0</v>
      </c>
      <c r="C22" s="21">
        <f t="shared" si="6"/>
        <v>0</v>
      </c>
      <c r="D22" s="13">
        <f t="shared" si="0"/>
        <v>0</v>
      </c>
      <c r="E22" s="13">
        <f t="shared" si="15"/>
        <v>0</v>
      </c>
      <c r="F22" s="13"/>
      <c r="G22" s="13"/>
      <c r="H22" s="21">
        <f t="shared" si="7"/>
        <v>0</v>
      </c>
      <c r="I22" s="21">
        <f t="shared" si="8"/>
        <v>0</v>
      </c>
      <c r="J22" s="13">
        <f t="shared" si="2"/>
        <v>0</v>
      </c>
      <c r="K22" s="13">
        <f t="shared" si="16"/>
        <v>0</v>
      </c>
      <c r="L22" s="13"/>
      <c r="M22" s="13"/>
      <c r="N22" s="21">
        <f t="shared" si="9"/>
        <v>0</v>
      </c>
      <c r="O22" s="13">
        <f t="shared" si="4"/>
        <v>0</v>
      </c>
      <c r="P22" s="8"/>
      <c r="Q22" s="8"/>
      <c r="R22" s="11"/>
      <c r="S22" s="34">
        <f t="shared" si="14"/>
        <v>0</v>
      </c>
      <c r="T22" s="8">
        <f t="shared" si="10"/>
        <v>0</v>
      </c>
      <c r="U22" s="50">
        <f>IF(AND(T22=0,T23=1),LOOKUP($E$5,table!A$1:A$206,table!B$1:B$206),IF(T22=1,U21,0))</f>
        <v>0</v>
      </c>
      <c r="V22" s="8">
        <v>31</v>
      </c>
      <c r="W22" s="8">
        <f>IF($E$4&gt;=19560,1,IF(OR(AND($E$4&gt;=18300,#REF!="Y",$E$7&gt;1),AND($E$4&gt;=18300,#REF!="N",$E$7=1)),IF(lecturer!$E$7-lecturer!AA21=0,0,1),IF(OR(AND($E$4&gt;=18300,#REF!="N",$E$7&gt;1),AND($E$4&gt;=18300,#REF!="Y",$E$7=1)),IF(lecturer!$E$7-lecturer!Y21=0,0,1),IF(lecturer!$E$7-lecturer!Z21=0,0,1))))</f>
        <v>1</v>
      </c>
      <c r="X22" s="35">
        <f t="shared" si="11"/>
        <v>1</v>
      </c>
      <c r="Y22" s="8">
        <v>22</v>
      </c>
      <c r="Z22" s="8">
        <v>10</v>
      </c>
      <c r="AA22" s="49">
        <f t="shared" si="12"/>
        <v>10</v>
      </c>
      <c r="AB22" s="49">
        <f t="shared" si="13"/>
        <v>10</v>
      </c>
      <c r="AC22" s="49"/>
      <c r="AD22" s="49"/>
    </row>
    <row r="23" spans="1:30" ht="11.25" customHeight="1">
      <c r="A23" s="12">
        <v>39022</v>
      </c>
      <c r="B23" s="21">
        <f t="shared" si="5"/>
        <v>0</v>
      </c>
      <c r="C23" s="21">
        <f t="shared" si="6"/>
        <v>0</v>
      </c>
      <c r="D23" s="13">
        <f t="shared" si="0"/>
        <v>0</v>
      </c>
      <c r="E23" s="13">
        <f t="shared" si="15"/>
        <v>0</v>
      </c>
      <c r="F23" s="13"/>
      <c r="G23" s="13"/>
      <c r="H23" s="21">
        <f t="shared" si="7"/>
        <v>0</v>
      </c>
      <c r="I23" s="21">
        <f t="shared" si="8"/>
        <v>0</v>
      </c>
      <c r="J23" s="13">
        <f t="shared" si="2"/>
        <v>0</v>
      </c>
      <c r="K23" s="13">
        <f t="shared" si="16"/>
        <v>0</v>
      </c>
      <c r="L23" s="13"/>
      <c r="M23" s="13"/>
      <c r="N23" s="21">
        <f t="shared" si="9"/>
        <v>0</v>
      </c>
      <c r="O23" s="13">
        <f t="shared" si="4"/>
        <v>0</v>
      </c>
      <c r="P23" s="8"/>
      <c r="Q23" s="8"/>
      <c r="R23" s="11"/>
      <c r="S23" s="34">
        <f t="shared" si="14"/>
        <v>0</v>
      </c>
      <c r="T23" s="8">
        <f t="shared" si="10"/>
        <v>0</v>
      </c>
      <c r="U23" s="50">
        <f>IF(AND(T23=0,T24=1),LOOKUP($E$5,table!A$1:A$206,table!B$1:B$206),IF(T23=1,U22,0))</f>
        <v>0</v>
      </c>
      <c r="V23" s="8">
        <v>30</v>
      </c>
      <c r="W23" s="8">
        <f>IF($E$4&gt;=19560,1,IF(OR(AND($E$4&gt;=18300,#REF!="Y",$E$7&gt;1),AND($E$4&gt;=18300,#REF!="N",$E$7=1)),IF(lecturer!$E$7-lecturer!AA22=0,0,1),IF(OR(AND($E$4&gt;=18300,#REF!="N",$E$7&gt;1),AND($E$4&gt;=18300,#REF!="Y",$E$7=1)),IF(lecturer!$E$7-lecturer!Y22=0,0,1),IF(lecturer!$E$7-lecturer!Z22=0,0,1))))</f>
        <v>1</v>
      </c>
      <c r="X23" s="35">
        <f t="shared" si="11"/>
        <v>1</v>
      </c>
      <c r="Y23" s="8">
        <v>23</v>
      </c>
      <c r="Z23" s="8">
        <v>11</v>
      </c>
      <c r="AA23" s="49">
        <f t="shared" si="12"/>
        <v>11</v>
      </c>
      <c r="AB23" s="49">
        <f t="shared" si="13"/>
        <v>11</v>
      </c>
      <c r="AC23" s="49"/>
      <c r="AD23" s="49"/>
    </row>
    <row r="24" spans="1:30" ht="11.25" customHeight="1">
      <c r="A24" s="12">
        <v>39052</v>
      </c>
      <c r="B24" s="21">
        <f t="shared" si="5"/>
        <v>0</v>
      </c>
      <c r="C24" s="21">
        <f t="shared" si="6"/>
        <v>0</v>
      </c>
      <c r="D24" s="13">
        <f t="shared" si="0"/>
        <v>0</v>
      </c>
      <c r="E24" s="13">
        <f t="shared" si="15"/>
        <v>0</v>
      </c>
      <c r="F24" s="13"/>
      <c r="G24" s="13"/>
      <c r="H24" s="21">
        <f t="shared" si="7"/>
        <v>0</v>
      </c>
      <c r="I24" s="21">
        <f t="shared" si="8"/>
        <v>0</v>
      </c>
      <c r="J24" s="13">
        <f t="shared" si="2"/>
        <v>0</v>
      </c>
      <c r="K24" s="13">
        <f t="shared" si="16"/>
        <v>0</v>
      </c>
      <c r="L24" s="13"/>
      <c r="M24" s="13"/>
      <c r="N24" s="21">
        <f t="shared" si="9"/>
        <v>0</v>
      </c>
      <c r="O24" s="13">
        <f t="shared" si="4"/>
        <v>0</v>
      </c>
      <c r="P24" s="8"/>
      <c r="Q24" s="8"/>
      <c r="R24" s="11"/>
      <c r="S24" s="34">
        <f t="shared" si="14"/>
        <v>0</v>
      </c>
      <c r="T24" s="8">
        <f t="shared" si="10"/>
        <v>0</v>
      </c>
      <c r="U24" s="50">
        <f>IF(AND(T24=0,T25=1),LOOKUP($E$5,table!A$1:A$206,table!B$1:B$206),IF(T24=1,U23,0))</f>
        <v>0</v>
      </c>
      <c r="V24" s="8">
        <v>31</v>
      </c>
      <c r="W24" s="8">
        <f>IF($E$4&gt;=19560,1,IF(OR(AND($E$4&gt;=18300,#REF!="Y",$E$7&gt;1),AND($E$4&gt;=18300,#REF!="N",$E$7=1)),IF(lecturer!$E$7-lecturer!AA23=0,0,1),IF(OR(AND($E$4&gt;=18300,#REF!="N",$E$7&gt;1),AND($E$4&gt;=18300,#REF!="Y",$E$7=1)),IF(lecturer!$E$7-lecturer!Y23=0,0,1),IF(lecturer!$E$7-lecturer!Z23=0,0,1))))</f>
        <v>1</v>
      </c>
      <c r="X24" s="35">
        <f t="shared" si="11"/>
        <v>1</v>
      </c>
      <c r="Y24" s="8">
        <v>24</v>
      </c>
      <c r="Z24" s="8">
        <v>12</v>
      </c>
      <c r="AA24" s="49">
        <f t="shared" si="12"/>
        <v>12</v>
      </c>
      <c r="AB24" s="49">
        <f t="shared" si="13"/>
        <v>12</v>
      </c>
      <c r="AC24" s="49"/>
      <c r="AD24" s="49"/>
    </row>
    <row r="25" spans="1:30" ht="11.25" customHeight="1">
      <c r="A25" s="12">
        <v>39083</v>
      </c>
      <c r="B25" s="21">
        <f t="shared" si="5"/>
        <v>0</v>
      </c>
      <c r="C25" s="21">
        <f t="shared" si="6"/>
        <v>0</v>
      </c>
      <c r="D25" s="13">
        <f t="shared" si="0"/>
        <v>0</v>
      </c>
      <c r="E25" s="13">
        <f aca="true" t="shared" si="17" ref="E25:E30">INT(D25*$H$6/100+0.5)</f>
        <v>0</v>
      </c>
      <c r="F25" s="13"/>
      <c r="G25" s="13"/>
      <c r="H25" s="21">
        <f t="shared" si="7"/>
        <v>0</v>
      </c>
      <c r="I25" s="21">
        <f aca="true" t="shared" si="18" ref="I25:I48">IF($T25=0,IF($T26=1,INT($E$5*($V25-$S25)/$V25+0.5),0),IF($X25=0,I24+$E$8,IF($S24=0,I24,$E$5)))</f>
        <v>0</v>
      </c>
      <c r="J25" s="13">
        <f t="shared" si="2"/>
        <v>0</v>
      </c>
      <c r="K25" s="13">
        <f aca="true" t="shared" si="19" ref="K25:K30">INT((I25+J25)*35/100+0.5)</f>
        <v>0</v>
      </c>
      <c r="L25" s="13"/>
      <c r="M25" s="13"/>
      <c r="N25" s="21">
        <f t="shared" si="9"/>
        <v>0</v>
      </c>
      <c r="O25" s="13">
        <f t="shared" si="4"/>
        <v>0</v>
      </c>
      <c r="P25" s="8"/>
      <c r="Q25" s="8"/>
      <c r="R25" s="11"/>
      <c r="S25" s="34">
        <f t="shared" si="14"/>
        <v>0</v>
      </c>
      <c r="T25" s="8">
        <f t="shared" si="10"/>
        <v>0</v>
      </c>
      <c r="U25" s="50">
        <f>IF(AND(T25=0,T26=1),LOOKUP($E$5,table!A$1:A$206,table!B$1:B$206),IF(T25=1,U24,0))</f>
        <v>0</v>
      </c>
      <c r="V25" s="8">
        <v>31</v>
      </c>
      <c r="W25" s="8">
        <f>IF($E$4&gt;=19560,1,IF(OR(AND($E$4&gt;=18300,#REF!="Y",$E$7&gt;1),AND($E$4&gt;=18300,#REF!="N",$E$7=1)),IF(lecturer!$E$7-lecturer!AA24=0,0,1),IF(OR(AND($E$4&gt;=18300,#REF!="N",$E$7&gt;1),AND($E$4&gt;=18300,#REF!="Y",$E$7=1)),IF(lecturer!$E$7-lecturer!Y24=0,0,1),IF(lecturer!$E$7-lecturer!Z24=0,0,1))))</f>
        <v>1</v>
      </c>
      <c r="X25" s="35">
        <f t="shared" si="11"/>
        <v>1</v>
      </c>
      <c r="Y25" s="8">
        <v>1</v>
      </c>
      <c r="Z25" s="8">
        <v>1</v>
      </c>
      <c r="AA25" s="49">
        <f t="shared" si="12"/>
        <v>13</v>
      </c>
      <c r="AB25" s="49">
        <f t="shared" si="13"/>
        <v>13</v>
      </c>
      <c r="AC25" s="49"/>
      <c r="AD25" s="49"/>
    </row>
    <row r="26" spans="1:30" ht="11.25" customHeight="1">
      <c r="A26" s="12">
        <v>39114</v>
      </c>
      <c r="B26" s="21">
        <f t="shared" si="5"/>
        <v>12093</v>
      </c>
      <c r="C26" s="21">
        <f t="shared" si="6"/>
        <v>4286</v>
      </c>
      <c r="D26" s="13">
        <f t="shared" si="0"/>
        <v>16379</v>
      </c>
      <c r="E26" s="13">
        <f t="shared" si="17"/>
        <v>983</v>
      </c>
      <c r="F26" s="13"/>
      <c r="G26" s="13"/>
      <c r="H26" s="21">
        <f t="shared" si="7"/>
        <v>17362</v>
      </c>
      <c r="I26" s="21">
        <f t="shared" si="18"/>
        <v>6500</v>
      </c>
      <c r="J26" s="13">
        <f t="shared" si="2"/>
        <v>3250</v>
      </c>
      <c r="K26" s="13">
        <f t="shared" si="19"/>
        <v>3413</v>
      </c>
      <c r="L26" s="13"/>
      <c r="M26" s="13"/>
      <c r="N26" s="21">
        <f t="shared" si="9"/>
        <v>13163</v>
      </c>
      <c r="O26" s="13">
        <f t="shared" si="4"/>
        <v>4199</v>
      </c>
      <c r="P26" s="8"/>
      <c r="Q26" s="8"/>
      <c r="R26" s="11"/>
      <c r="S26" s="34">
        <f t="shared" si="14"/>
        <v>8</v>
      </c>
      <c r="T26" s="8">
        <f t="shared" si="10"/>
        <v>0</v>
      </c>
      <c r="U26" s="50">
        <f>IF(AND(T26=0,T27=1),LOOKUP($E$5,table!A$1:A$206,table!B$1:B$206),IF(T26=1,U25,0))</f>
        <v>16930</v>
      </c>
      <c r="V26" s="8">
        <v>28</v>
      </c>
      <c r="W26" s="8">
        <f>IF($E$4&gt;=19560,1,IF(OR(AND($E$4&gt;=18300,#REF!="Y",$E$7&gt;1),AND($E$4&gt;=18300,#REF!="N",$E$7=1)),IF(lecturer!$E$7-lecturer!AA25=0,0,1),IF(OR(AND($E$4&gt;=18300,#REF!="N",$E$7&gt;1),AND($E$4&gt;=18300,#REF!="Y",$E$7=1)),IF(lecturer!$E$7-lecturer!Y25=0,0,1),IF(lecturer!$E$7-lecturer!Z25=0,0,1))))</f>
        <v>1</v>
      </c>
      <c r="X26" s="35">
        <f t="shared" si="11"/>
        <v>1</v>
      </c>
      <c r="Y26" s="8">
        <v>2</v>
      </c>
      <c r="Z26" s="8">
        <v>2</v>
      </c>
      <c r="AA26" s="49">
        <f t="shared" si="12"/>
        <v>14</v>
      </c>
      <c r="AB26" s="49">
        <f t="shared" si="13"/>
        <v>14</v>
      </c>
      <c r="AC26" s="49"/>
      <c r="AD26" s="49"/>
    </row>
    <row r="27" spans="1:30" ht="11.25" customHeight="1">
      <c r="A27" s="12">
        <v>39142</v>
      </c>
      <c r="B27" s="21">
        <f t="shared" si="5"/>
        <v>16930</v>
      </c>
      <c r="C27" s="21">
        <f t="shared" si="6"/>
        <v>6000</v>
      </c>
      <c r="D27" s="13">
        <f t="shared" si="0"/>
        <v>22930</v>
      </c>
      <c r="E27" s="13">
        <f t="shared" si="17"/>
        <v>1376</v>
      </c>
      <c r="F27" s="13"/>
      <c r="G27" s="13"/>
      <c r="H27" s="21">
        <f t="shared" si="7"/>
        <v>24306</v>
      </c>
      <c r="I27" s="21">
        <f t="shared" si="18"/>
        <v>9100</v>
      </c>
      <c r="J27" s="13">
        <f t="shared" si="2"/>
        <v>4550</v>
      </c>
      <c r="K27" s="13">
        <f t="shared" si="19"/>
        <v>4778</v>
      </c>
      <c r="L27" s="13"/>
      <c r="M27" s="13"/>
      <c r="N27" s="21">
        <f t="shared" si="9"/>
        <v>18428</v>
      </c>
      <c r="O27" s="13">
        <f t="shared" si="4"/>
        <v>5878</v>
      </c>
      <c r="P27" s="8"/>
      <c r="Q27" s="8"/>
      <c r="R27" s="11"/>
      <c r="S27" s="34">
        <f t="shared" si="14"/>
        <v>0</v>
      </c>
      <c r="T27" s="8">
        <f t="shared" si="10"/>
        <v>1</v>
      </c>
      <c r="U27" s="50">
        <f>IF(AND(T27=0,T28=1),LOOKUP($E$5,table!A$1:A$206,table!B$1:B$206),IF(T27=1,U26,0))</f>
        <v>16930</v>
      </c>
      <c r="V27" s="8">
        <v>31</v>
      </c>
      <c r="W27" s="8">
        <f>IF($E$4&gt;=19560,1,IF(OR(AND($E$4&gt;=18300,#REF!="Y",$E$7&gt;1),AND($E$4&gt;=18300,#REF!="N",$E$7=1)),IF(lecturer!$E$7-lecturer!AA26=0,0,1),IF(OR(AND($E$4&gt;=18300,#REF!="N",$E$7&gt;1),AND($E$4&gt;=18300,#REF!="Y",$E$7=1)),IF(lecturer!$E$7-lecturer!Y26=0,0,1),IF(lecturer!$E$7-lecturer!Z26=0,0,1))))</f>
        <v>1</v>
      </c>
      <c r="X27" s="35">
        <f t="shared" si="11"/>
        <v>1</v>
      </c>
      <c r="Y27" s="8">
        <v>3</v>
      </c>
      <c r="Z27" s="8">
        <v>3</v>
      </c>
      <c r="AA27" s="49">
        <f>AA26+1</f>
        <v>15</v>
      </c>
      <c r="AB27" s="49">
        <f t="shared" si="13"/>
        <v>15</v>
      </c>
      <c r="AC27" s="49"/>
      <c r="AD27" s="49"/>
    </row>
    <row r="28" spans="1:30" ht="11.25" customHeight="1">
      <c r="A28" s="12">
        <v>39173</v>
      </c>
      <c r="B28" s="21">
        <f t="shared" si="5"/>
        <v>16930</v>
      </c>
      <c r="C28" s="21">
        <f t="shared" si="6"/>
        <v>6000</v>
      </c>
      <c r="D28" s="13">
        <f t="shared" si="0"/>
        <v>22930</v>
      </c>
      <c r="E28" s="13">
        <f t="shared" si="17"/>
        <v>1376</v>
      </c>
      <c r="F28" s="13"/>
      <c r="G28" s="13"/>
      <c r="H28" s="21">
        <f t="shared" si="7"/>
        <v>24306</v>
      </c>
      <c r="I28" s="21">
        <f t="shared" si="18"/>
        <v>9100</v>
      </c>
      <c r="J28" s="13">
        <f t="shared" si="2"/>
        <v>4550</v>
      </c>
      <c r="K28" s="13">
        <f t="shared" si="19"/>
        <v>4778</v>
      </c>
      <c r="L28" s="13"/>
      <c r="M28" s="13"/>
      <c r="N28" s="21">
        <f t="shared" si="9"/>
        <v>18428</v>
      </c>
      <c r="O28" s="13">
        <f t="shared" si="4"/>
        <v>5878</v>
      </c>
      <c r="P28" s="8"/>
      <c r="Q28" s="8"/>
      <c r="R28" s="11"/>
      <c r="S28" s="34">
        <f t="shared" si="14"/>
        <v>0</v>
      </c>
      <c r="T28" s="8">
        <f t="shared" si="10"/>
        <v>1</v>
      </c>
      <c r="U28" s="50">
        <f>IF(AND(T28=0,T29=1),LOOKUP($E$5,table!A$1:A$206,table!B$1:B$206),IF(T28=1,U27,0))</f>
        <v>16930</v>
      </c>
      <c r="V28" s="8">
        <v>30</v>
      </c>
      <c r="W28" s="8">
        <f>IF($E$4&gt;=19560,1,IF(OR(AND($E$4&gt;=18300,#REF!="Y",$E$7&gt;1),AND($E$4&gt;=18300,#REF!="N",$E$7=1)),IF(lecturer!$E$7-lecturer!AA27=0,0,1),IF(OR(AND($E$4&gt;=18300,#REF!="N",$E$7&gt;1),AND($E$4&gt;=18300,#REF!="Y",$E$7=1)),IF(lecturer!$E$7-lecturer!Y27=0,0,1),IF(lecturer!$E$7-lecturer!Z27=0,0,1))))</f>
        <v>1</v>
      </c>
      <c r="X28" s="35">
        <f t="shared" si="11"/>
        <v>1</v>
      </c>
      <c r="Y28" s="8">
        <v>4</v>
      </c>
      <c r="Z28" s="8">
        <v>4</v>
      </c>
      <c r="AA28" s="49">
        <f t="shared" si="12"/>
        <v>16</v>
      </c>
      <c r="AB28" s="49">
        <f t="shared" si="13"/>
        <v>16</v>
      </c>
      <c r="AC28" s="49"/>
      <c r="AD28" s="49"/>
    </row>
    <row r="29" spans="1:30" ht="11.25" customHeight="1">
      <c r="A29" s="12">
        <v>39203</v>
      </c>
      <c r="B29" s="21">
        <f t="shared" si="5"/>
        <v>16930</v>
      </c>
      <c r="C29" s="21">
        <f t="shared" si="6"/>
        <v>6000</v>
      </c>
      <c r="D29" s="13">
        <f t="shared" si="0"/>
        <v>22930</v>
      </c>
      <c r="E29" s="13">
        <f t="shared" si="17"/>
        <v>1376</v>
      </c>
      <c r="F29" s="13"/>
      <c r="G29" s="13"/>
      <c r="H29" s="21">
        <f t="shared" si="7"/>
        <v>24306</v>
      </c>
      <c r="I29" s="21">
        <f t="shared" si="18"/>
        <v>9100</v>
      </c>
      <c r="J29" s="13">
        <f t="shared" si="2"/>
        <v>4550</v>
      </c>
      <c r="K29" s="13">
        <f t="shared" si="19"/>
        <v>4778</v>
      </c>
      <c r="L29" s="13"/>
      <c r="M29" s="13"/>
      <c r="N29" s="21">
        <f t="shared" si="9"/>
        <v>18428</v>
      </c>
      <c r="O29" s="13">
        <f t="shared" si="4"/>
        <v>5878</v>
      </c>
      <c r="P29" s="8"/>
      <c r="Q29" s="8"/>
      <c r="R29" s="11"/>
      <c r="S29" s="34">
        <f t="shared" si="14"/>
        <v>0</v>
      </c>
      <c r="T29" s="8">
        <f t="shared" si="10"/>
        <v>1</v>
      </c>
      <c r="U29" s="50">
        <f>IF(AND(T29=0,T30=1),LOOKUP($E$5,table!A$1:A$206,table!B$1:B$206),IF(T29=1,U28,0))</f>
        <v>16930</v>
      </c>
      <c r="V29" s="8">
        <v>31</v>
      </c>
      <c r="W29" s="8">
        <f>IF($E$4&gt;=19560,1,IF(OR(AND($E$4&gt;=18300,#REF!="Y",$E$7&gt;1),AND($E$4&gt;=18300,#REF!="N",$E$7=1)),IF(lecturer!$E$7-lecturer!AA28=0,0,1),IF(OR(AND($E$4&gt;=18300,#REF!="N",$E$7&gt;1),AND($E$4&gt;=18300,#REF!="Y",$E$7=1)),IF(lecturer!$E$7-lecturer!Y28=0,0,1),IF(lecturer!$E$7-lecturer!Z28=0,0,1))))</f>
        <v>1</v>
      </c>
      <c r="X29" s="35">
        <f t="shared" si="11"/>
        <v>1</v>
      </c>
      <c r="Y29" s="8">
        <v>5</v>
      </c>
      <c r="Z29" s="8">
        <v>5</v>
      </c>
      <c r="AA29" s="49">
        <f t="shared" si="12"/>
        <v>17</v>
      </c>
      <c r="AB29" s="49">
        <f t="shared" si="13"/>
        <v>17</v>
      </c>
      <c r="AC29" s="49"/>
      <c r="AD29" s="49"/>
    </row>
    <row r="30" spans="1:30" ht="11.25" customHeight="1">
      <c r="A30" s="12">
        <v>39234</v>
      </c>
      <c r="B30" s="21">
        <f t="shared" si="5"/>
        <v>16930</v>
      </c>
      <c r="C30" s="21">
        <f t="shared" si="6"/>
        <v>6000</v>
      </c>
      <c r="D30" s="13">
        <f t="shared" si="0"/>
        <v>22930</v>
      </c>
      <c r="E30" s="13">
        <f t="shared" si="17"/>
        <v>1376</v>
      </c>
      <c r="F30" s="13"/>
      <c r="G30" s="13"/>
      <c r="H30" s="21">
        <f t="shared" si="7"/>
        <v>24306</v>
      </c>
      <c r="I30" s="21">
        <f t="shared" si="18"/>
        <v>9100</v>
      </c>
      <c r="J30" s="13">
        <f t="shared" si="2"/>
        <v>4550</v>
      </c>
      <c r="K30" s="13">
        <f t="shared" si="19"/>
        <v>4778</v>
      </c>
      <c r="L30" s="13"/>
      <c r="M30" s="13"/>
      <c r="N30" s="21">
        <f t="shared" si="9"/>
        <v>18428</v>
      </c>
      <c r="O30" s="13">
        <f t="shared" si="4"/>
        <v>5878</v>
      </c>
      <c r="P30" s="8"/>
      <c r="Q30" s="8"/>
      <c r="R30" s="11"/>
      <c r="S30" s="34">
        <f t="shared" si="14"/>
        <v>0</v>
      </c>
      <c r="T30" s="8">
        <f t="shared" si="10"/>
        <v>1</v>
      </c>
      <c r="U30" s="50">
        <f>IF(AND(T30=0,T31=1),LOOKUP($E$5,table!A$1:A$206,table!B$1:B$206),IF(T30=1,U29,0))</f>
        <v>16930</v>
      </c>
      <c r="V30" s="8">
        <v>30</v>
      </c>
      <c r="W30" s="8">
        <f>IF($E$4&gt;=19560,1,IF(OR(AND($E$4&gt;=18300,#REF!="Y",$E$7&gt;1),AND($E$4&gt;=18300,#REF!="N",$E$7=1)),IF(lecturer!$E$7-lecturer!AA29=0,0,1),IF(OR(AND($E$4&gt;=18300,#REF!="N",$E$7&gt;1),AND($E$4&gt;=18300,#REF!="Y",$E$7=1)),IF(lecturer!$E$7-lecturer!Y29=0,0,1),IF(lecturer!$E$7-lecturer!Z29=0,0,1))))</f>
        <v>1</v>
      </c>
      <c r="X30" s="35">
        <f t="shared" si="11"/>
        <v>1</v>
      </c>
      <c r="Y30" s="8">
        <v>6</v>
      </c>
      <c r="Z30" s="8">
        <v>6</v>
      </c>
      <c r="AA30" s="49">
        <f t="shared" si="12"/>
        <v>18</v>
      </c>
      <c r="AB30" s="49">
        <f t="shared" si="13"/>
        <v>18</v>
      </c>
      <c r="AC30" s="49"/>
      <c r="AD30" s="49"/>
    </row>
    <row r="31" spans="1:30" ht="11.25" customHeight="1">
      <c r="A31" s="12">
        <v>39264</v>
      </c>
      <c r="B31" s="21">
        <f t="shared" si="5"/>
        <v>17620</v>
      </c>
      <c r="C31" s="21">
        <f t="shared" si="6"/>
        <v>6000</v>
      </c>
      <c r="D31" s="13">
        <f t="shared" si="0"/>
        <v>23620</v>
      </c>
      <c r="E31" s="13">
        <f aca="true" t="shared" si="20" ref="E31:E36">INT(D31*$H$7/100+0.5)</f>
        <v>2126</v>
      </c>
      <c r="F31" s="13"/>
      <c r="G31" s="13"/>
      <c r="H31" s="21">
        <f t="shared" si="7"/>
        <v>25746</v>
      </c>
      <c r="I31" s="21">
        <f t="shared" si="18"/>
        <v>9100</v>
      </c>
      <c r="J31" s="13">
        <f t="shared" si="2"/>
        <v>4550</v>
      </c>
      <c r="K31" s="13">
        <f aca="true" t="shared" si="21" ref="K31:K36">INT((I31+J31)*41/100+0.5)</f>
        <v>5597</v>
      </c>
      <c r="L31" s="13"/>
      <c r="M31" s="13"/>
      <c r="N31" s="21">
        <f t="shared" si="9"/>
        <v>19247</v>
      </c>
      <c r="O31" s="13">
        <f t="shared" si="4"/>
        <v>6499</v>
      </c>
      <c r="P31" s="8"/>
      <c r="Q31" s="8"/>
      <c r="R31" s="11"/>
      <c r="S31" s="34">
        <f t="shared" si="14"/>
        <v>0</v>
      </c>
      <c r="T31" s="8">
        <f t="shared" si="10"/>
        <v>1</v>
      </c>
      <c r="U31" s="50">
        <f>IF(AND(T31=0,T32=1),LOOKUP($E$5,table!A$1:A$206,table!B$1:B$206),IF(T31=1,INT((U30+(U30+C31)*0.03)/10+0.99)*10,0))</f>
        <v>17620</v>
      </c>
      <c r="V31" s="8">
        <v>31</v>
      </c>
      <c r="W31" s="8">
        <f>IF($E$4&gt;=19560,1,IF(OR(AND($E$4&gt;=18300,#REF!="Y",$E$7&gt;1),AND($E$4&gt;=18300,#REF!="N",$E$7=1)),IF(lecturer!$E$7-lecturer!AA30=0,0,1),IF(OR(AND($E$4&gt;=18300,#REF!="N",$E$7&gt;1),AND($E$4&gt;=18300,#REF!="Y",$E$7=1)),IF(lecturer!$E$7-lecturer!Y30=0,0,1),IF(lecturer!$E$7-lecturer!Z30=0,0,1))))</f>
        <v>1</v>
      </c>
      <c r="X31" s="35">
        <f t="shared" si="11"/>
        <v>1</v>
      </c>
      <c r="Y31" s="8">
        <v>7</v>
      </c>
      <c r="Z31" s="8">
        <v>7</v>
      </c>
      <c r="AA31" s="49">
        <f t="shared" si="12"/>
        <v>19</v>
      </c>
      <c r="AB31" s="49">
        <f t="shared" si="13"/>
        <v>19</v>
      </c>
      <c r="AC31" s="49"/>
      <c r="AD31" s="49"/>
    </row>
    <row r="32" spans="1:30" ht="11.25" customHeight="1">
      <c r="A32" s="12">
        <v>39295</v>
      </c>
      <c r="B32" s="21">
        <f t="shared" si="5"/>
        <v>17620</v>
      </c>
      <c r="C32" s="21">
        <f t="shared" si="6"/>
        <v>6000</v>
      </c>
      <c r="D32" s="13">
        <f t="shared" si="0"/>
        <v>23620</v>
      </c>
      <c r="E32" s="13">
        <f t="shared" si="20"/>
        <v>2126</v>
      </c>
      <c r="F32" s="13"/>
      <c r="G32" s="13"/>
      <c r="H32" s="21">
        <f t="shared" si="7"/>
        <v>25746</v>
      </c>
      <c r="I32" s="21">
        <f t="shared" si="18"/>
        <v>9100</v>
      </c>
      <c r="J32" s="13">
        <f t="shared" si="2"/>
        <v>4550</v>
      </c>
      <c r="K32" s="13">
        <f t="shared" si="21"/>
        <v>5597</v>
      </c>
      <c r="L32" s="13"/>
      <c r="M32" s="13"/>
      <c r="N32" s="21">
        <f t="shared" si="9"/>
        <v>19247</v>
      </c>
      <c r="O32" s="13">
        <f t="shared" si="4"/>
        <v>6499</v>
      </c>
      <c r="P32" s="8"/>
      <c r="Q32" s="8"/>
      <c r="R32" s="11"/>
      <c r="S32" s="34">
        <f t="shared" si="14"/>
        <v>0</v>
      </c>
      <c r="T32" s="8">
        <f t="shared" si="10"/>
        <v>1</v>
      </c>
      <c r="U32" s="50">
        <f>IF(AND(T32=0,T33=1),LOOKUP($E$5,table!A$1:A$206,table!B$1:B$206),IF(T32=1,U31,0))</f>
        <v>17620</v>
      </c>
      <c r="V32" s="8">
        <v>31</v>
      </c>
      <c r="W32" s="8">
        <f>IF($E$4&gt;=19560,1,IF(OR(AND($E$4&gt;=18300,#REF!="Y",$E$7&gt;1),AND($E$4&gt;=18300,#REF!="N",$E$7=1)),IF(lecturer!$E$7-lecturer!AA31=0,0,1),IF(OR(AND($E$4&gt;=18300,#REF!="N",$E$7&gt;1),AND($E$4&gt;=18300,#REF!="Y",$E$7=1)),IF(lecturer!$E$7-lecturer!Y31=0,0,1),IF(lecturer!$E$7-lecturer!Z31=0,0,1))))</f>
        <v>1</v>
      </c>
      <c r="X32" s="35">
        <f t="shared" si="11"/>
        <v>1</v>
      </c>
      <c r="Y32" s="8">
        <v>8</v>
      </c>
      <c r="Z32" s="8">
        <v>8</v>
      </c>
      <c r="AA32" s="49">
        <f t="shared" si="12"/>
        <v>20</v>
      </c>
      <c r="AB32" s="49">
        <f t="shared" si="13"/>
        <v>20</v>
      </c>
      <c r="AC32" s="49"/>
      <c r="AD32" s="49"/>
    </row>
    <row r="33" spans="1:30" ht="11.25" customHeight="1">
      <c r="A33" s="12">
        <v>39326</v>
      </c>
      <c r="B33" s="21">
        <f t="shared" si="5"/>
        <v>17620</v>
      </c>
      <c r="C33" s="21">
        <f t="shared" si="6"/>
        <v>6000</v>
      </c>
      <c r="D33" s="13">
        <f t="shared" si="0"/>
        <v>23620</v>
      </c>
      <c r="E33" s="13">
        <f t="shared" si="20"/>
        <v>2126</v>
      </c>
      <c r="F33" s="13"/>
      <c r="G33" s="13"/>
      <c r="H33" s="21">
        <f t="shared" si="7"/>
        <v>25746</v>
      </c>
      <c r="I33" s="21">
        <f t="shared" si="18"/>
        <v>9375</v>
      </c>
      <c r="J33" s="13">
        <f t="shared" si="2"/>
        <v>4688</v>
      </c>
      <c r="K33" s="13">
        <f t="shared" si="21"/>
        <v>5766</v>
      </c>
      <c r="L33" s="13"/>
      <c r="M33" s="13"/>
      <c r="N33" s="21">
        <f t="shared" si="9"/>
        <v>19829</v>
      </c>
      <c r="O33" s="13">
        <f t="shared" si="4"/>
        <v>5917</v>
      </c>
      <c r="P33" s="8"/>
      <c r="Q33" s="8"/>
      <c r="R33" s="11"/>
      <c r="S33" s="34">
        <f t="shared" si="14"/>
        <v>0</v>
      </c>
      <c r="T33" s="8">
        <f t="shared" si="10"/>
        <v>1</v>
      </c>
      <c r="U33" s="50">
        <f>IF(AND(T33=0,T34=1),LOOKUP($E$5,table!A$1:A$206,table!B$1:B$206),IF(T33=1,U32,0))</f>
        <v>17620</v>
      </c>
      <c r="V33" s="8">
        <v>30</v>
      </c>
      <c r="W33" s="8">
        <f>IF($E$4&gt;=19560,1,IF(OR(AND($E$4&gt;=18300,#REF!="Y",$E$7&gt;1),AND($E$4&gt;=18300,#REF!="N",$E$7=1)),IF(lecturer!$E$7-lecturer!AA32=0,0,1),IF(OR(AND($E$4&gt;=18300,#REF!="N",$E$7&gt;1),AND($E$4&gt;=18300,#REF!="Y",$E$7=1)),IF(lecturer!$E$7-lecturer!Y32=0,0,1),IF(lecturer!$E$7-lecturer!Z32=0,0,1))))</f>
        <v>1</v>
      </c>
      <c r="X33" s="35">
        <f t="shared" si="11"/>
        <v>0</v>
      </c>
      <c r="Y33" s="8">
        <v>9</v>
      </c>
      <c r="Z33" s="8">
        <v>9</v>
      </c>
      <c r="AA33" s="49">
        <f t="shared" si="12"/>
        <v>21</v>
      </c>
      <c r="AB33" s="49">
        <f t="shared" si="13"/>
        <v>21</v>
      </c>
      <c r="AC33" s="49"/>
      <c r="AD33" s="49"/>
    </row>
    <row r="34" spans="1:30" ht="11.25" customHeight="1">
      <c r="A34" s="12">
        <v>39356</v>
      </c>
      <c r="B34" s="21">
        <f t="shared" si="5"/>
        <v>17620</v>
      </c>
      <c r="C34" s="21">
        <f t="shared" si="6"/>
        <v>6000</v>
      </c>
      <c r="D34" s="13">
        <f t="shared" si="0"/>
        <v>23620</v>
      </c>
      <c r="E34" s="13">
        <f t="shared" si="20"/>
        <v>2126</v>
      </c>
      <c r="F34" s="13"/>
      <c r="G34" s="13"/>
      <c r="H34" s="21">
        <f t="shared" si="7"/>
        <v>25746</v>
      </c>
      <c r="I34" s="21">
        <f t="shared" si="18"/>
        <v>9375</v>
      </c>
      <c r="J34" s="13">
        <f t="shared" si="2"/>
        <v>4688</v>
      </c>
      <c r="K34" s="13">
        <f t="shared" si="21"/>
        <v>5766</v>
      </c>
      <c r="L34" s="13"/>
      <c r="M34" s="13"/>
      <c r="N34" s="21">
        <f t="shared" si="9"/>
        <v>19829</v>
      </c>
      <c r="O34" s="13">
        <f t="shared" si="4"/>
        <v>5917</v>
      </c>
      <c r="P34" s="8"/>
      <c r="Q34" s="8"/>
      <c r="R34" s="11"/>
      <c r="S34" s="34">
        <f t="shared" si="14"/>
        <v>0</v>
      </c>
      <c r="T34" s="8">
        <f t="shared" si="10"/>
        <v>1</v>
      </c>
      <c r="U34" s="50">
        <f>IF(AND(T34=0,T35=1),LOOKUP($E$5,table!A$1:A$206,table!B$1:B$206),IF(T34=1,U33,0))</f>
        <v>17620</v>
      </c>
      <c r="V34" s="8">
        <v>31</v>
      </c>
      <c r="W34" s="8">
        <f>IF($E$4&gt;=19560,1,IF(OR(AND($E$4&gt;=18300,#REF!="Y",$E$7&gt;1),AND($E$4&gt;=18300,#REF!="N",$E$7=1)),IF(lecturer!$E$7-lecturer!AA33=0,0,1),IF(OR(AND($E$4&gt;=18300,#REF!="N",$E$7&gt;1),AND($E$4&gt;=18300,#REF!="Y",$E$7=1)),IF(lecturer!$E$7-lecturer!Y33=0,0,1),IF(lecturer!$E$7-lecturer!Z33=0,0,1))))</f>
        <v>1</v>
      </c>
      <c r="X34" s="35">
        <f t="shared" si="11"/>
        <v>1</v>
      </c>
      <c r="Y34" s="8">
        <v>10</v>
      </c>
      <c r="Z34" s="8">
        <v>10</v>
      </c>
      <c r="AA34" s="49">
        <f t="shared" si="12"/>
        <v>22</v>
      </c>
      <c r="AB34" s="49">
        <f t="shared" si="13"/>
        <v>22</v>
      </c>
      <c r="AC34" s="49"/>
      <c r="AD34" s="49"/>
    </row>
    <row r="35" spans="1:30" ht="11.25" customHeight="1">
      <c r="A35" s="12">
        <v>39387</v>
      </c>
      <c r="B35" s="21">
        <f t="shared" si="5"/>
        <v>17620</v>
      </c>
      <c r="C35" s="21">
        <f t="shared" si="6"/>
        <v>6000</v>
      </c>
      <c r="D35" s="13">
        <f t="shared" si="0"/>
        <v>23620</v>
      </c>
      <c r="E35" s="13">
        <f t="shared" si="20"/>
        <v>2126</v>
      </c>
      <c r="F35" s="13"/>
      <c r="G35" s="13"/>
      <c r="H35" s="21">
        <f t="shared" si="7"/>
        <v>25746</v>
      </c>
      <c r="I35" s="21">
        <f t="shared" si="18"/>
        <v>9375</v>
      </c>
      <c r="J35" s="13">
        <f t="shared" si="2"/>
        <v>4688</v>
      </c>
      <c r="K35" s="13">
        <f t="shared" si="21"/>
        <v>5766</v>
      </c>
      <c r="L35" s="13"/>
      <c r="M35" s="13"/>
      <c r="N35" s="21">
        <f t="shared" si="9"/>
        <v>19829</v>
      </c>
      <c r="O35" s="13">
        <f t="shared" si="4"/>
        <v>5917</v>
      </c>
      <c r="P35" s="8"/>
      <c r="Q35" s="8"/>
      <c r="R35" s="11"/>
      <c r="S35" s="34">
        <f t="shared" si="14"/>
        <v>0</v>
      </c>
      <c r="T35" s="8">
        <f t="shared" si="10"/>
        <v>1</v>
      </c>
      <c r="U35" s="50">
        <f>IF(AND(T35=0,T36=1),LOOKUP($E$5,table!A$1:A$206,table!B$1:B$206),IF(T35=1,U34,0))</f>
        <v>17620</v>
      </c>
      <c r="V35" s="8">
        <v>30</v>
      </c>
      <c r="W35" s="8">
        <f>IF($E$4&gt;=19560,1,IF(OR(AND($E$4&gt;=18300,#REF!="Y",$E$7&gt;1),AND($E$4&gt;=18300,#REF!="N",$E$7=1)),IF(lecturer!$E$7-lecturer!AA34=0,0,1),IF(OR(AND($E$4&gt;=18300,#REF!="N",$E$7&gt;1),AND($E$4&gt;=18300,#REF!="Y",$E$7=1)),IF(lecturer!$E$7-lecturer!Y34=0,0,1),IF(lecturer!$E$7-lecturer!Z34=0,0,1))))</f>
        <v>1</v>
      </c>
      <c r="X35" s="35">
        <f t="shared" si="11"/>
        <v>1</v>
      </c>
      <c r="Y35" s="8">
        <v>11</v>
      </c>
      <c r="Z35" s="8">
        <v>11</v>
      </c>
      <c r="AA35" s="49">
        <f>AA34+1</f>
        <v>23</v>
      </c>
      <c r="AB35" s="49">
        <f t="shared" si="13"/>
        <v>23</v>
      </c>
      <c r="AC35" s="49"/>
      <c r="AD35" s="49"/>
    </row>
    <row r="36" spans="1:30" ht="11.25" customHeight="1">
      <c r="A36" s="12">
        <v>39417</v>
      </c>
      <c r="B36" s="21">
        <f t="shared" si="5"/>
        <v>17620</v>
      </c>
      <c r="C36" s="21">
        <f t="shared" si="6"/>
        <v>6000</v>
      </c>
      <c r="D36" s="13">
        <f t="shared" si="0"/>
        <v>23620</v>
      </c>
      <c r="E36" s="13">
        <f t="shared" si="20"/>
        <v>2126</v>
      </c>
      <c r="F36" s="13"/>
      <c r="G36" s="13"/>
      <c r="H36" s="21">
        <f t="shared" si="7"/>
        <v>25746</v>
      </c>
      <c r="I36" s="21">
        <f t="shared" si="18"/>
        <v>9375</v>
      </c>
      <c r="J36" s="13">
        <f t="shared" si="2"/>
        <v>4688</v>
      </c>
      <c r="K36" s="13">
        <f t="shared" si="21"/>
        <v>5766</v>
      </c>
      <c r="L36" s="13"/>
      <c r="M36" s="13"/>
      <c r="N36" s="21">
        <f t="shared" si="9"/>
        <v>19829</v>
      </c>
      <c r="O36" s="13">
        <f t="shared" si="4"/>
        <v>5917</v>
      </c>
      <c r="P36" s="8"/>
      <c r="Q36" s="8"/>
      <c r="R36" s="11"/>
      <c r="S36" s="34">
        <f t="shared" si="14"/>
        <v>0</v>
      </c>
      <c r="T36" s="8">
        <f t="shared" si="10"/>
        <v>1</v>
      </c>
      <c r="U36" s="50">
        <f>IF(AND(T36=0,T37=1),LOOKUP($E$5,table!A$1:A$206,table!B$1:B$206),IF(T36=1,U35,0))</f>
        <v>17620</v>
      </c>
      <c r="V36" s="8">
        <v>31</v>
      </c>
      <c r="W36" s="8">
        <f>IF($E$4&gt;=19560,1,IF(OR(AND($E$4&gt;=18300,#REF!="Y",$E$7&gt;1),AND($E$4&gt;=18300,#REF!="N",$E$7=1)),IF(lecturer!$E$7-lecturer!AA35=0,0,1),IF(OR(AND($E$4&gt;=18300,#REF!="N",$E$7&gt;1),AND($E$4&gt;=18300,#REF!="Y",$E$7=1)),IF(lecturer!$E$7-lecturer!Y35=0,0,1),IF(lecturer!$E$7-lecturer!Z35=0,0,1))))</f>
        <v>1</v>
      </c>
      <c r="X36" s="35">
        <f t="shared" si="11"/>
        <v>1</v>
      </c>
      <c r="Y36" s="8">
        <v>12</v>
      </c>
      <c r="Z36" s="8">
        <v>12</v>
      </c>
      <c r="AA36" s="49">
        <f t="shared" si="12"/>
        <v>24</v>
      </c>
      <c r="AB36" s="49">
        <f t="shared" si="13"/>
        <v>24</v>
      </c>
      <c r="AC36" s="49"/>
      <c r="AD36" s="49"/>
    </row>
    <row r="37" spans="1:30" ht="11.25" customHeight="1">
      <c r="A37" s="12">
        <v>39448</v>
      </c>
      <c r="B37" s="21">
        <f t="shared" si="5"/>
        <v>17620</v>
      </c>
      <c r="C37" s="21">
        <f t="shared" si="6"/>
        <v>6000</v>
      </c>
      <c r="D37" s="13">
        <f t="shared" si="0"/>
        <v>23620</v>
      </c>
      <c r="E37" s="13">
        <f aca="true" t="shared" si="22" ref="E37:E42">INT(D37*$H$8/100+0.5)</f>
        <v>2834</v>
      </c>
      <c r="F37" s="13"/>
      <c r="G37" s="13"/>
      <c r="H37" s="21">
        <f t="shared" si="7"/>
        <v>26454</v>
      </c>
      <c r="I37" s="21">
        <f t="shared" si="18"/>
        <v>9375</v>
      </c>
      <c r="J37" s="13">
        <f t="shared" si="2"/>
        <v>4688</v>
      </c>
      <c r="K37" s="13">
        <f aca="true" t="shared" si="23" ref="K37:K48">INT((I37+J37)*47/100+0.5)</f>
        <v>6610</v>
      </c>
      <c r="L37" s="13"/>
      <c r="M37" s="13"/>
      <c r="N37" s="21">
        <f t="shared" si="9"/>
        <v>20673</v>
      </c>
      <c r="O37" s="13">
        <f t="shared" si="4"/>
        <v>5781</v>
      </c>
      <c r="P37" s="8"/>
      <c r="Q37" s="8"/>
      <c r="R37" s="11"/>
      <c r="S37" s="34">
        <f t="shared" si="14"/>
        <v>0</v>
      </c>
      <c r="T37" s="8">
        <f t="shared" si="10"/>
        <v>1</v>
      </c>
      <c r="U37" s="50">
        <f>IF(AND(T37=0,T38=1),LOOKUP($E$5,table!A$1:A$206,table!B$1:B$206),IF(T37=1,U36,0))</f>
        <v>17620</v>
      </c>
      <c r="V37" s="8">
        <v>31</v>
      </c>
      <c r="W37" s="8">
        <f>IF($E$4&gt;=19560,1,IF(OR(AND($E$4&gt;=18300,#REF!="Y",$E$7&gt;1),AND($E$4&gt;=18300,#REF!="N",$E$7=1)),IF(lecturer!$E$7-lecturer!AA36=0,0,1),IF(OR(AND($E$4&gt;=18300,#REF!="N",$E$7&gt;1),AND($E$4&gt;=18300,#REF!="Y",$E$7=1)),IF(lecturer!$E$7-lecturer!Y36=0,0,1),IF(lecturer!$E$7-lecturer!Z36=0,0,1))))</f>
        <v>1</v>
      </c>
      <c r="X37" s="35">
        <f t="shared" si="11"/>
        <v>1</v>
      </c>
      <c r="Y37" s="8">
        <v>13</v>
      </c>
      <c r="Z37" s="8">
        <v>1</v>
      </c>
      <c r="AA37" s="49">
        <v>1</v>
      </c>
      <c r="AB37" s="49">
        <f t="shared" si="13"/>
        <v>25</v>
      </c>
      <c r="AC37" s="49"/>
      <c r="AD37" s="49"/>
    </row>
    <row r="38" spans="1:30" ht="11.25" customHeight="1">
      <c r="A38" s="12">
        <v>39479</v>
      </c>
      <c r="B38" s="21">
        <f t="shared" si="5"/>
        <v>17620</v>
      </c>
      <c r="C38" s="21">
        <f t="shared" si="6"/>
        <v>6000</v>
      </c>
      <c r="D38" s="13">
        <f t="shared" si="0"/>
        <v>23620</v>
      </c>
      <c r="E38" s="13">
        <f t="shared" si="22"/>
        <v>2834</v>
      </c>
      <c r="F38" s="13"/>
      <c r="G38" s="13"/>
      <c r="H38" s="21">
        <f t="shared" si="7"/>
        <v>26454</v>
      </c>
      <c r="I38" s="21">
        <f t="shared" si="18"/>
        <v>9375</v>
      </c>
      <c r="J38" s="13">
        <f t="shared" si="2"/>
        <v>4688</v>
      </c>
      <c r="K38" s="13">
        <f t="shared" si="23"/>
        <v>6610</v>
      </c>
      <c r="L38" s="13"/>
      <c r="M38" s="13"/>
      <c r="N38" s="21">
        <f t="shared" si="9"/>
        <v>20673</v>
      </c>
      <c r="O38" s="13">
        <f t="shared" si="4"/>
        <v>5781</v>
      </c>
      <c r="P38" s="8"/>
      <c r="Q38" s="8"/>
      <c r="R38" s="11"/>
      <c r="S38" s="34">
        <f t="shared" si="14"/>
        <v>0</v>
      </c>
      <c r="T38" s="8">
        <f t="shared" si="10"/>
        <v>1</v>
      </c>
      <c r="U38" s="50">
        <f>IF(AND(T38=0,T39=1),LOOKUP($E$5,table!A$1:A$206,table!B$1:B$206),IF(T38=1,U37,0))</f>
        <v>17620</v>
      </c>
      <c r="V38" s="8">
        <v>29</v>
      </c>
      <c r="W38" s="8">
        <f>IF($E$4&gt;=19560,1,IF(OR(AND($E$4&gt;=18300,#REF!="Y",$E$7&gt;1),AND($E$4&gt;=18300,#REF!="N",$E$7=1)),IF(lecturer!$E$7-lecturer!AA37=0,0,1),IF(OR(AND($E$4&gt;=18300,#REF!="N",$E$7&gt;1),AND($E$4&gt;=18300,#REF!="Y",$E$7=1)),IF(lecturer!$E$7-lecturer!Y37=0,0,1),IF(lecturer!$E$7-lecturer!Z37=0,0,1))))</f>
        <v>1</v>
      </c>
      <c r="X38" s="35">
        <f t="shared" si="11"/>
        <v>1</v>
      </c>
      <c r="Y38" s="8">
        <v>14</v>
      </c>
      <c r="Z38" s="8">
        <v>2</v>
      </c>
      <c r="AA38" s="49">
        <f>AA37+1</f>
        <v>2</v>
      </c>
      <c r="AB38" s="49">
        <f t="shared" si="13"/>
        <v>26</v>
      </c>
      <c r="AC38" s="49"/>
      <c r="AD38" s="49"/>
    </row>
    <row r="39" spans="1:30" ht="11.25" customHeight="1">
      <c r="A39" s="12">
        <v>39508</v>
      </c>
      <c r="B39" s="21">
        <f t="shared" si="5"/>
        <v>17620</v>
      </c>
      <c r="C39" s="21">
        <f t="shared" si="6"/>
        <v>6000</v>
      </c>
      <c r="D39" s="13">
        <f t="shared" si="0"/>
        <v>23620</v>
      </c>
      <c r="E39" s="13">
        <f t="shared" si="22"/>
        <v>2834</v>
      </c>
      <c r="F39" s="13"/>
      <c r="G39" s="13"/>
      <c r="H39" s="21">
        <f t="shared" si="7"/>
        <v>26454</v>
      </c>
      <c r="I39" s="21">
        <f t="shared" si="18"/>
        <v>9375</v>
      </c>
      <c r="J39" s="13">
        <f t="shared" si="2"/>
        <v>4688</v>
      </c>
      <c r="K39" s="13">
        <f t="shared" si="23"/>
        <v>6610</v>
      </c>
      <c r="L39" s="13"/>
      <c r="M39" s="13"/>
      <c r="N39" s="21">
        <f t="shared" si="9"/>
        <v>20673</v>
      </c>
      <c r="O39" s="13">
        <f t="shared" si="4"/>
        <v>5781</v>
      </c>
      <c r="P39" s="8"/>
      <c r="Q39" s="8"/>
      <c r="R39" s="11"/>
      <c r="S39" s="34">
        <f t="shared" si="14"/>
        <v>0</v>
      </c>
      <c r="T39" s="8">
        <f t="shared" si="10"/>
        <v>1</v>
      </c>
      <c r="U39" s="50">
        <f>IF(AND(T39=0,T40=1),LOOKUP($E$5,table!A$1:A$206,table!B$1:B$206),IF(T39=1,U38,0))</f>
        <v>17620</v>
      </c>
      <c r="V39" s="8">
        <v>31</v>
      </c>
      <c r="W39" s="8">
        <f>IF($E$4&gt;=19560,1,IF(OR(AND($E$4&gt;=18300,#REF!="Y",$E$7&gt;1),AND($E$4&gt;=18300,#REF!="N",$E$7=1)),IF(lecturer!$E$7-lecturer!AA38=0,0,1),IF(OR(AND($E$4&gt;=18300,#REF!="N",$E$7&gt;1),AND($E$4&gt;=18300,#REF!="Y",$E$7=1)),IF(lecturer!$E$7-lecturer!Y38=0,0,1),IF(lecturer!$E$7-lecturer!Z38=0,0,1))))</f>
        <v>1</v>
      </c>
      <c r="X39" s="35">
        <f t="shared" si="11"/>
        <v>1</v>
      </c>
      <c r="Y39" s="8">
        <v>15</v>
      </c>
      <c r="Z39" s="8">
        <v>3</v>
      </c>
      <c r="AA39" s="49">
        <f aca="true" t="shared" si="24" ref="AA39:AA44">AA38+1</f>
        <v>3</v>
      </c>
      <c r="AB39" s="49">
        <f t="shared" si="13"/>
        <v>27</v>
      </c>
      <c r="AC39" s="49"/>
      <c r="AD39" s="49"/>
    </row>
    <row r="40" spans="1:30" ht="11.25" customHeight="1">
      <c r="A40" s="12">
        <v>39539</v>
      </c>
      <c r="B40" s="21">
        <f t="shared" si="5"/>
        <v>17620</v>
      </c>
      <c r="C40" s="21">
        <f t="shared" si="6"/>
        <v>6000</v>
      </c>
      <c r="D40" s="13">
        <f t="shared" si="0"/>
        <v>23620</v>
      </c>
      <c r="E40" s="13">
        <f t="shared" si="22"/>
        <v>2834</v>
      </c>
      <c r="F40" s="13"/>
      <c r="G40" s="13"/>
      <c r="H40" s="21">
        <f t="shared" si="7"/>
        <v>26454</v>
      </c>
      <c r="I40" s="21">
        <f t="shared" si="18"/>
        <v>9375</v>
      </c>
      <c r="J40" s="13">
        <f t="shared" si="2"/>
        <v>4688</v>
      </c>
      <c r="K40" s="13">
        <f t="shared" si="23"/>
        <v>6610</v>
      </c>
      <c r="L40" s="13"/>
      <c r="M40" s="13"/>
      <c r="N40" s="21">
        <f t="shared" si="9"/>
        <v>20673</v>
      </c>
      <c r="O40" s="13">
        <f t="shared" si="4"/>
        <v>5781</v>
      </c>
      <c r="P40" s="97"/>
      <c r="Q40" s="97"/>
      <c r="R40" s="11"/>
      <c r="S40" s="34">
        <f t="shared" si="14"/>
        <v>0</v>
      </c>
      <c r="T40" s="8">
        <f t="shared" si="10"/>
        <v>1</v>
      </c>
      <c r="U40" s="50">
        <f>IF(AND(T40=0,T41=1),LOOKUP($E$5,table!A$1:A$206,table!B$1:B$206),IF(T40=1,U39,0))</f>
        <v>17620</v>
      </c>
      <c r="V40" s="8">
        <v>30</v>
      </c>
      <c r="W40" s="8">
        <f>IF($E$4&gt;=19560,1,IF(OR(AND($E$4&gt;=18300,#REF!="Y",$E$7&gt;1),AND($E$4&gt;=18300,#REF!="N",$E$7=1)),IF(lecturer!$E$7-lecturer!AA39=0,0,1),IF(OR(AND($E$4&gt;=18300,#REF!="N",$E$7&gt;1),AND($E$4&gt;=18300,#REF!="Y",$E$7=1)),IF(lecturer!$E$7-lecturer!Y39=0,0,1),IF(lecturer!$E$7-lecturer!Z39=0,0,1))))</f>
        <v>1</v>
      </c>
      <c r="X40" s="35">
        <f t="shared" si="11"/>
        <v>1</v>
      </c>
      <c r="Y40" s="8">
        <v>16</v>
      </c>
      <c r="Z40" s="8">
        <v>4</v>
      </c>
      <c r="AA40" s="49">
        <f t="shared" si="24"/>
        <v>4</v>
      </c>
      <c r="AB40" s="49">
        <f t="shared" si="13"/>
        <v>28</v>
      </c>
      <c r="AC40" s="49"/>
      <c r="AD40" s="49"/>
    </row>
    <row r="41" spans="1:30" ht="11.25" customHeight="1">
      <c r="A41" s="12">
        <v>39569</v>
      </c>
      <c r="B41" s="21">
        <f t="shared" si="5"/>
        <v>17620</v>
      </c>
      <c r="C41" s="21">
        <f t="shared" si="6"/>
        <v>6000</v>
      </c>
      <c r="D41" s="13">
        <f t="shared" si="0"/>
        <v>23620</v>
      </c>
      <c r="E41" s="13">
        <f t="shared" si="22"/>
        <v>2834</v>
      </c>
      <c r="F41" s="13"/>
      <c r="G41" s="13"/>
      <c r="H41" s="21">
        <f t="shared" si="7"/>
        <v>26454</v>
      </c>
      <c r="I41" s="21">
        <f t="shared" si="18"/>
        <v>9375</v>
      </c>
      <c r="J41" s="13">
        <f t="shared" si="2"/>
        <v>4688</v>
      </c>
      <c r="K41" s="13">
        <f t="shared" si="23"/>
        <v>6610</v>
      </c>
      <c r="L41" s="13"/>
      <c r="M41" s="13"/>
      <c r="N41" s="21">
        <f t="shared" si="9"/>
        <v>20673</v>
      </c>
      <c r="O41" s="13">
        <f t="shared" si="4"/>
        <v>5781</v>
      </c>
      <c r="P41" s="8"/>
      <c r="Q41" s="8"/>
      <c r="R41" s="11"/>
      <c r="S41" s="34">
        <f t="shared" si="14"/>
        <v>0</v>
      </c>
      <c r="T41" s="8">
        <f t="shared" si="10"/>
        <v>1</v>
      </c>
      <c r="U41" s="50">
        <f>IF(AND(T41=0,T42=1),LOOKUP($E$5,table!A$1:A$206,table!B$1:B$206),IF(T41=1,U40,0))</f>
        <v>17620</v>
      </c>
      <c r="V41" s="8">
        <v>31</v>
      </c>
      <c r="W41" s="8">
        <f>IF($E$4&gt;=19560,1,IF(OR(AND($E$4&gt;=18300,#REF!="Y",$E$7&gt;1),AND($E$4&gt;=18300,#REF!="N",$E$7=1)),IF(lecturer!$E$7-lecturer!AA40=0,0,1),IF(OR(AND($E$4&gt;=18300,#REF!="N",$E$7&gt;1),AND($E$4&gt;=18300,#REF!="Y",$E$7=1)),IF(lecturer!$E$7-lecturer!Y40=0,0,1),IF(lecturer!$E$7-lecturer!Z40=0,0,1))))</f>
        <v>1</v>
      </c>
      <c r="X41" s="35">
        <f t="shared" si="11"/>
        <v>1</v>
      </c>
      <c r="Y41" s="8">
        <v>17</v>
      </c>
      <c r="Z41" s="8">
        <v>5</v>
      </c>
      <c r="AA41" s="49">
        <f t="shared" si="24"/>
        <v>5</v>
      </c>
      <c r="AB41" s="49">
        <f t="shared" si="13"/>
        <v>29</v>
      </c>
      <c r="AC41" s="49"/>
      <c r="AD41" s="49"/>
    </row>
    <row r="42" spans="1:30" ht="11.25" customHeight="1">
      <c r="A42" s="12">
        <v>39600</v>
      </c>
      <c r="B42" s="21">
        <f t="shared" si="5"/>
        <v>17620</v>
      </c>
      <c r="C42" s="21">
        <f t="shared" si="6"/>
        <v>6000</v>
      </c>
      <c r="D42" s="13">
        <f t="shared" si="0"/>
        <v>23620</v>
      </c>
      <c r="E42" s="13">
        <f t="shared" si="22"/>
        <v>2834</v>
      </c>
      <c r="F42" s="13"/>
      <c r="G42" s="13"/>
      <c r="H42" s="21">
        <f t="shared" si="7"/>
        <v>26454</v>
      </c>
      <c r="I42" s="21">
        <f t="shared" si="18"/>
        <v>9375</v>
      </c>
      <c r="J42" s="13">
        <f t="shared" si="2"/>
        <v>4688</v>
      </c>
      <c r="K42" s="13">
        <f t="shared" si="23"/>
        <v>6610</v>
      </c>
      <c r="L42" s="13"/>
      <c r="M42" s="13"/>
      <c r="N42" s="21">
        <f t="shared" si="9"/>
        <v>20673</v>
      </c>
      <c r="O42" s="13">
        <f t="shared" si="4"/>
        <v>5781</v>
      </c>
      <c r="R42" s="11"/>
      <c r="S42" s="34">
        <f t="shared" si="14"/>
        <v>0</v>
      </c>
      <c r="T42" s="8">
        <f t="shared" si="10"/>
        <v>1</v>
      </c>
      <c r="U42" s="50">
        <f>IF(AND(T42=0,T43=1),LOOKUP($E$5,table!A$1:A$206,table!B$1:B$206),IF(T42=1,U41,0))</f>
        <v>17620</v>
      </c>
      <c r="V42" s="8">
        <v>30</v>
      </c>
      <c r="W42" s="8">
        <f>IF($E$4&gt;=19560,1,IF(OR(AND($E$4&gt;=18300,#REF!="Y",$E$7&gt;1),AND($E$4&gt;=18300,#REF!="N",$E$7=1)),IF(lecturer!$E$7-lecturer!AA41=0,0,1),IF(OR(AND($E$4&gt;=18300,#REF!="N",$E$7&gt;1),AND($E$4&gt;=18300,#REF!="Y",$E$7=1)),IF(lecturer!$E$7-lecturer!Y41=0,0,1),IF(lecturer!$E$7-lecturer!Z41=0,0,1))))</f>
        <v>1</v>
      </c>
      <c r="X42" s="35">
        <f t="shared" si="11"/>
        <v>1</v>
      </c>
      <c r="Y42" s="8">
        <v>18</v>
      </c>
      <c r="Z42" s="8">
        <v>6</v>
      </c>
      <c r="AA42" s="49">
        <f t="shared" si="24"/>
        <v>6</v>
      </c>
      <c r="AB42" s="49">
        <f t="shared" si="13"/>
        <v>30</v>
      </c>
      <c r="AC42" s="49"/>
      <c r="AD42" s="49"/>
    </row>
    <row r="43" spans="1:30" ht="11.25" customHeight="1">
      <c r="A43" s="12">
        <v>39630</v>
      </c>
      <c r="B43" s="21">
        <f t="shared" si="5"/>
        <v>18330</v>
      </c>
      <c r="C43" s="21">
        <f t="shared" si="6"/>
        <v>6000</v>
      </c>
      <c r="D43" s="13">
        <f t="shared" si="0"/>
        <v>24330</v>
      </c>
      <c r="E43" s="13">
        <f aca="true" t="shared" si="25" ref="E43:E48">INT(D43*$H$9/100+0.5)</f>
        <v>3893</v>
      </c>
      <c r="F43" s="13"/>
      <c r="G43" s="13"/>
      <c r="H43" s="21">
        <f t="shared" si="7"/>
        <v>28223</v>
      </c>
      <c r="I43" s="21">
        <f t="shared" si="18"/>
        <v>9375</v>
      </c>
      <c r="J43" s="13">
        <f t="shared" si="2"/>
        <v>4688</v>
      </c>
      <c r="K43" s="13">
        <f t="shared" si="23"/>
        <v>6610</v>
      </c>
      <c r="L43" s="13"/>
      <c r="M43" s="13"/>
      <c r="N43" s="21">
        <f t="shared" si="9"/>
        <v>20673</v>
      </c>
      <c r="O43" s="13">
        <f t="shared" si="4"/>
        <v>7550</v>
      </c>
      <c r="R43" s="11"/>
      <c r="S43" s="34">
        <f t="shared" si="14"/>
        <v>0</v>
      </c>
      <c r="T43" s="8">
        <f t="shared" si="10"/>
        <v>1</v>
      </c>
      <c r="U43" s="50">
        <f>IF(AND(T43=0,T44=1),LOOKUP($E$5,table!A$1:A$206,table!B$1:B$206),IF(T43=1,INT((U42+(U42+C43)*0.03)/10+0.99)*10,0))</f>
        <v>18330</v>
      </c>
      <c r="V43" s="8">
        <v>31</v>
      </c>
      <c r="W43" s="8">
        <f>IF($E$4&gt;=19560,1,IF(OR(AND($E$4&gt;=18300,#REF!="Y",$E$7&gt;1),AND($E$4&gt;=18300,#REF!="N",$E$7=1)),IF(lecturer!$E$7-lecturer!AA42=0,0,1),IF(OR(AND($E$4&gt;=18300,#REF!="N",$E$7&gt;1),AND($E$4&gt;=18300,#REF!="Y",$E$7=1)),IF(lecturer!$E$7-lecturer!Y42=0,0,1),IF(lecturer!$E$7-lecturer!Z42=0,0,1))))</f>
        <v>1</v>
      </c>
      <c r="X43" s="35">
        <f t="shared" si="11"/>
        <v>1</v>
      </c>
      <c r="Y43" s="8">
        <v>19</v>
      </c>
      <c r="Z43" s="8">
        <v>7</v>
      </c>
      <c r="AA43" s="49">
        <f t="shared" si="24"/>
        <v>7</v>
      </c>
      <c r="AB43" s="49">
        <f t="shared" si="13"/>
        <v>31</v>
      </c>
      <c r="AC43" s="49"/>
      <c r="AD43" s="49"/>
    </row>
    <row r="44" spans="1:30" ht="11.25" customHeight="1">
      <c r="A44" s="12">
        <v>39661</v>
      </c>
      <c r="B44" s="21">
        <f t="shared" si="5"/>
        <v>18330</v>
      </c>
      <c r="C44" s="21">
        <f t="shared" si="6"/>
        <v>6000</v>
      </c>
      <c r="D44" s="13">
        <f t="shared" si="0"/>
        <v>24330</v>
      </c>
      <c r="E44" s="13">
        <f t="shared" si="25"/>
        <v>3893</v>
      </c>
      <c r="F44" s="13"/>
      <c r="G44" s="13"/>
      <c r="H44" s="21">
        <f t="shared" si="7"/>
        <v>28223</v>
      </c>
      <c r="I44" s="21">
        <f t="shared" si="18"/>
        <v>9375</v>
      </c>
      <c r="J44" s="13">
        <f t="shared" si="2"/>
        <v>4688</v>
      </c>
      <c r="K44" s="13">
        <f t="shared" si="23"/>
        <v>6610</v>
      </c>
      <c r="L44" s="13"/>
      <c r="M44" s="13"/>
      <c r="N44" s="21">
        <f t="shared" si="9"/>
        <v>20673</v>
      </c>
      <c r="O44" s="13">
        <f t="shared" si="4"/>
        <v>7550</v>
      </c>
      <c r="R44" s="11"/>
      <c r="S44" s="34">
        <f t="shared" si="14"/>
        <v>0</v>
      </c>
      <c r="T44" s="8">
        <f t="shared" si="10"/>
        <v>1</v>
      </c>
      <c r="U44" s="50">
        <f>IF(AND(T44=0,T45=1),LOOKUP($E$5,table!A$1:A$206,table!B$1:B$206),IF(T44=1,U43,0))</f>
        <v>18330</v>
      </c>
      <c r="V44" s="8">
        <v>31</v>
      </c>
      <c r="W44" s="8">
        <f>IF($E$4&gt;=19560,1,IF(OR(AND($E$4&gt;=18300,#REF!="Y",$E$7&gt;1),AND($E$4&gt;=18300,#REF!="N",$E$7=1)),IF(lecturer!$E$7-lecturer!AA43=0,0,1),IF(OR(AND($E$4&gt;=18300,#REF!="N",$E$7&gt;1),AND($E$4&gt;=18300,#REF!="Y",$E$7=1)),IF(lecturer!$E$7-lecturer!Y43=0,0,1),IF(lecturer!$E$7-lecturer!Z43=0,0,1))))</f>
        <v>1</v>
      </c>
      <c r="X44" s="35">
        <f t="shared" si="11"/>
        <v>1</v>
      </c>
      <c r="Y44" s="8">
        <v>20</v>
      </c>
      <c r="Z44" s="8">
        <v>8</v>
      </c>
      <c r="AA44" s="49">
        <f t="shared" si="24"/>
        <v>8</v>
      </c>
      <c r="AB44" s="49">
        <f t="shared" si="13"/>
        <v>32</v>
      </c>
      <c r="AC44" s="49"/>
      <c r="AD44" s="49"/>
    </row>
    <row r="45" spans="1:30" ht="11.25" customHeight="1">
      <c r="A45" s="12">
        <v>39692</v>
      </c>
      <c r="B45" s="21">
        <f t="shared" si="5"/>
        <v>18330</v>
      </c>
      <c r="C45" s="21">
        <f t="shared" si="6"/>
        <v>6000</v>
      </c>
      <c r="D45" s="13">
        <f t="shared" si="0"/>
        <v>24330</v>
      </c>
      <c r="E45" s="13">
        <f t="shared" si="25"/>
        <v>3893</v>
      </c>
      <c r="F45" s="24">
        <f>IF(B45&gt;0,INT($O$10*(1+$H$9/100)*((V45-S45)/V45)+0.5),0)</f>
        <v>3712</v>
      </c>
      <c r="G45" s="24">
        <f>IF(OR(B45=0,$E$9="Y"),0,INT(D45*($E$6/100)+0.5))</f>
        <v>7299</v>
      </c>
      <c r="H45" s="21">
        <f t="shared" si="7"/>
        <v>39234</v>
      </c>
      <c r="I45" s="21">
        <f t="shared" si="18"/>
        <v>9650</v>
      </c>
      <c r="J45" s="13">
        <f t="shared" si="2"/>
        <v>4825</v>
      </c>
      <c r="K45" s="13">
        <f t="shared" si="23"/>
        <v>6803</v>
      </c>
      <c r="L45" s="15">
        <f>IF($E$9="Y",0,INT((I45+J45)*($E$10/100)+0.5))</f>
        <v>4343</v>
      </c>
      <c r="M45" s="19">
        <f>INT(((V45-S45)/V45)*IF(I45=0,0,IF($E$9="Y",300,1100)))</f>
        <v>1100</v>
      </c>
      <c r="N45" s="21">
        <f t="shared" si="9"/>
        <v>26721</v>
      </c>
      <c r="O45" s="13">
        <f t="shared" si="4"/>
        <v>12513</v>
      </c>
      <c r="R45" s="11"/>
      <c r="S45" s="34">
        <f t="shared" si="14"/>
        <v>0</v>
      </c>
      <c r="T45" s="8">
        <f t="shared" si="10"/>
        <v>1</v>
      </c>
      <c r="U45" s="50">
        <f>IF(AND(T45=0,T46=1),LOOKUP($E$5,table!A$1:A$206,table!B$1:B$206),IF(T45=1,U44,0))</f>
        <v>18330</v>
      </c>
      <c r="V45" s="8">
        <v>30</v>
      </c>
      <c r="W45" s="8">
        <f>IF($E$4&gt;=19560,1,IF(OR(AND($E$4&gt;=18300,#REF!="Y",$E$7&gt;1),AND($E$4&gt;=18300,#REF!="N",$E$7=1)),IF(lecturer!$E$7-lecturer!AA44=0,0,1),IF(OR(AND($E$4&gt;=18300,#REF!="N",$E$7&gt;1),AND($E$4&gt;=18300,#REF!="Y",$E$7=1)),IF(lecturer!$E$7-lecturer!Y44=0,0,1),IF(lecturer!$E$7-lecturer!Z44=0,0,1))))</f>
        <v>1</v>
      </c>
      <c r="X45" s="35">
        <f>IF(($E$7-Z45)=0,0,1)</f>
        <v>0</v>
      </c>
      <c r="Y45" s="8">
        <v>21</v>
      </c>
      <c r="Z45" s="8">
        <v>9</v>
      </c>
      <c r="AA45" s="49">
        <v>9</v>
      </c>
      <c r="AB45" s="49">
        <v>33</v>
      </c>
      <c r="AC45" s="49"/>
      <c r="AD45" s="49"/>
    </row>
    <row r="46" spans="1:30" ht="11.25" customHeight="1">
      <c r="A46" s="12">
        <v>39722</v>
      </c>
      <c r="B46" s="21">
        <f t="shared" si="5"/>
        <v>18330</v>
      </c>
      <c r="C46" s="21">
        <f t="shared" si="6"/>
        <v>6000</v>
      </c>
      <c r="D46" s="13">
        <f t="shared" si="0"/>
        <v>24330</v>
      </c>
      <c r="E46" s="13">
        <f t="shared" si="25"/>
        <v>3893</v>
      </c>
      <c r="F46" s="24">
        <f>IF(B46&gt;0,INT($O$10*(1+$H$9/100)*((V46-S46)/V46)+0.5),0)</f>
        <v>3712</v>
      </c>
      <c r="G46" s="24">
        <f>IF(OR(B46=0,$E$9="Y"),0,INT(D46*($E$6/100)+0.5))</f>
        <v>7299</v>
      </c>
      <c r="H46" s="21">
        <f t="shared" si="7"/>
        <v>39234</v>
      </c>
      <c r="I46" s="21">
        <f t="shared" si="18"/>
        <v>9650</v>
      </c>
      <c r="J46" s="13">
        <f t="shared" si="2"/>
        <v>4825</v>
      </c>
      <c r="K46" s="13">
        <f t="shared" si="23"/>
        <v>6803</v>
      </c>
      <c r="L46" s="15">
        <f>IF($E$9="Y",0,INT((I46+J46)*($E$10/100)+0.5))</f>
        <v>4343</v>
      </c>
      <c r="M46" s="19">
        <f>INT(((V46-S46)/V46)*IF(I46=0,0,IF($E$9="Y",300,1100)))</f>
        <v>1100</v>
      </c>
      <c r="N46" s="21">
        <f t="shared" si="9"/>
        <v>26721</v>
      </c>
      <c r="O46" s="13">
        <f t="shared" si="4"/>
        <v>12513</v>
      </c>
      <c r="R46" s="11"/>
      <c r="S46" s="34">
        <f t="shared" si="14"/>
        <v>0</v>
      </c>
      <c r="T46" s="8">
        <f t="shared" si="10"/>
        <v>1</v>
      </c>
      <c r="U46" s="50">
        <f>IF(AND(T46=0,T47=1),LOOKUP($E$5,table!A$1:A$206,table!B$1:B$206),IF(T46=1,U45,0))</f>
        <v>18330</v>
      </c>
      <c r="V46" s="8">
        <v>31</v>
      </c>
      <c r="W46" s="8">
        <f>IF($E$4&gt;=19560,1,IF(OR(AND($E$4&gt;=18300,#REF!="Y",$E$7&gt;1),AND($E$4&gt;=18300,#REF!="N",$E$7=1)),IF(lecturer!$E$7-lecturer!AA45=0,0,1),IF(OR(AND($E$4&gt;=18300,#REF!="N",$E$7&gt;1),AND($E$4&gt;=18300,#REF!="Y",$E$7=1)),IF(lecturer!$E$7-lecturer!Y45=0,0,1),IF(lecturer!$E$7-lecturer!Z45=0,0,1))))</f>
        <v>1</v>
      </c>
      <c r="X46" s="35">
        <f>IF(($E$7-Z46)=0,0,1)</f>
        <v>1</v>
      </c>
      <c r="Y46" s="8">
        <v>22</v>
      </c>
      <c r="Z46" s="8">
        <v>10</v>
      </c>
      <c r="AA46" s="49">
        <v>10</v>
      </c>
      <c r="AB46" s="49">
        <v>34</v>
      </c>
      <c r="AC46" s="49"/>
      <c r="AD46" s="49"/>
    </row>
    <row r="47" spans="1:30" ht="11.25" customHeight="1">
      <c r="A47" s="12">
        <v>39753</v>
      </c>
      <c r="B47" s="21">
        <f t="shared" si="5"/>
        <v>18330</v>
      </c>
      <c r="C47" s="21">
        <f t="shared" si="6"/>
        <v>6000</v>
      </c>
      <c r="D47" s="13">
        <f t="shared" si="0"/>
        <v>24330</v>
      </c>
      <c r="E47" s="13">
        <f t="shared" si="25"/>
        <v>3893</v>
      </c>
      <c r="F47" s="24">
        <f>IF(B47&gt;0,INT($O$10*(1+$H$9/100)*((V47-S47)/V47)+0.5),0)</f>
        <v>3712</v>
      </c>
      <c r="G47" s="24">
        <f>IF(OR(B47=0,$E$9="Y"),0,INT(D47*($E$6/100)+0.5))</f>
        <v>7299</v>
      </c>
      <c r="H47" s="21">
        <f t="shared" si="7"/>
        <v>39234</v>
      </c>
      <c r="I47" s="21">
        <f t="shared" si="18"/>
        <v>9650</v>
      </c>
      <c r="J47" s="13">
        <f t="shared" si="2"/>
        <v>4825</v>
      </c>
      <c r="K47" s="13">
        <f t="shared" si="23"/>
        <v>6803</v>
      </c>
      <c r="L47" s="15">
        <f>IF($E$9="Y",0,INT((I47+J47)*($E$10/100)+0.5))</f>
        <v>4343</v>
      </c>
      <c r="M47" s="19">
        <f>INT(((V47-S47)/V47)*IF(I47=0,0,IF($E$9="Y",300,1100)))</f>
        <v>1100</v>
      </c>
      <c r="N47" s="21">
        <f t="shared" si="9"/>
        <v>26721</v>
      </c>
      <c r="O47" s="13">
        <f t="shared" si="4"/>
        <v>12513</v>
      </c>
      <c r="R47" s="11"/>
      <c r="S47" s="34">
        <f t="shared" si="14"/>
        <v>0</v>
      </c>
      <c r="T47" s="8">
        <f t="shared" si="10"/>
        <v>1</v>
      </c>
      <c r="U47" s="50">
        <f>IF(AND(T47=0,T48=1),LOOKUP($E$5,table!A$1:A$206,table!B$1:B$206),IF(T47=1,U46,0))</f>
        <v>18330</v>
      </c>
      <c r="V47" s="8">
        <v>30</v>
      </c>
      <c r="W47" s="8">
        <f>IF($E$4&gt;=19560,1,IF(OR(AND($E$4&gt;=18300,#REF!="Y",$E$7&gt;1),AND($E$4&gt;=18300,#REF!="N",$E$7=1)),IF(lecturer!$E$7-lecturer!AA46=0,0,1),IF(OR(AND($E$4&gt;=18300,#REF!="N",$E$7&gt;1),AND($E$4&gt;=18300,#REF!="Y",$E$7=1)),IF(lecturer!$E$7-lecturer!Y46=0,0,1),IF(lecturer!$E$7-lecturer!Z46=0,0,1))))</f>
        <v>1</v>
      </c>
      <c r="X47" s="35">
        <f>IF(($E$7-Z47)=0,0,1)</f>
        <v>1</v>
      </c>
      <c r="Y47" s="8">
        <v>23</v>
      </c>
      <c r="Z47" s="8">
        <v>11</v>
      </c>
      <c r="AA47" s="49">
        <v>11</v>
      </c>
      <c r="AB47" s="49">
        <v>35</v>
      </c>
      <c r="AC47" s="49"/>
      <c r="AD47" s="49"/>
    </row>
    <row r="48" spans="1:30" ht="11.25" customHeight="1">
      <c r="A48" s="41">
        <v>39783</v>
      </c>
      <c r="B48" s="21">
        <f t="shared" si="5"/>
        <v>18330</v>
      </c>
      <c r="C48" s="21">
        <f t="shared" si="6"/>
        <v>6000</v>
      </c>
      <c r="D48" s="13">
        <f t="shared" si="0"/>
        <v>24330</v>
      </c>
      <c r="E48" s="13">
        <f t="shared" si="25"/>
        <v>3893</v>
      </c>
      <c r="F48" s="24">
        <f>IF(B48&gt;0,INT($O$10*(1+$H$9/100)*((V48-S48)/V48)+0.5),0)</f>
        <v>3712</v>
      </c>
      <c r="G48" s="24">
        <f>IF(OR(B48=0,$E$9="Y"),0,INT(D48*($E$6/100)+0.5))</f>
        <v>7299</v>
      </c>
      <c r="H48" s="21">
        <f t="shared" si="7"/>
        <v>39234</v>
      </c>
      <c r="I48" s="21">
        <f t="shared" si="18"/>
        <v>9650</v>
      </c>
      <c r="J48" s="13">
        <f t="shared" si="2"/>
        <v>4825</v>
      </c>
      <c r="K48" s="13">
        <f t="shared" si="23"/>
        <v>6803</v>
      </c>
      <c r="L48" s="15">
        <f>IF($E$9="Y",0,INT((I48+J48)*($E$10/100)+0.5))</f>
        <v>4343</v>
      </c>
      <c r="M48" s="19">
        <f>INT(((V48-S48)/V48)*IF(I48=0,0,IF($E$9="Y",300,1100)))</f>
        <v>1100</v>
      </c>
      <c r="N48" s="21">
        <f t="shared" si="9"/>
        <v>26721</v>
      </c>
      <c r="O48" s="13">
        <f t="shared" si="4"/>
        <v>12513</v>
      </c>
      <c r="R48" s="11"/>
      <c r="S48" s="34">
        <f t="shared" si="14"/>
        <v>0</v>
      </c>
      <c r="T48" s="8">
        <f t="shared" si="10"/>
        <v>1</v>
      </c>
      <c r="U48" s="50">
        <f>IF(AND(T48=0,T49=1),LOOKUP($E$5,table!A$1:A$206,table!B$1:B$206),IF(T48=1,U47,0))</f>
        <v>18330</v>
      </c>
      <c r="V48" s="8">
        <v>31</v>
      </c>
      <c r="W48" s="8">
        <f>IF($E$4&gt;=19560,1,IF(OR(AND($E$4&gt;=18300,#REF!="Y",$E$7&gt;1),AND($E$4&gt;=18300,#REF!="N",$E$7=1)),IF(lecturer!$E$7-lecturer!AA47=0,0,1),IF(OR(AND($E$4&gt;=18300,#REF!="N",$E$7&gt;1),AND($E$4&gt;=18300,#REF!="Y",$E$7=1)),IF(lecturer!$E$7-lecturer!Y47=0,0,1),IF(lecturer!$E$7-lecturer!Z47=0,0,1))))</f>
        <v>1</v>
      </c>
      <c r="X48" s="35">
        <f>IF(($E$7-Z48)=0,0,1)</f>
        <v>1</v>
      </c>
      <c r="Y48" s="8">
        <v>24</v>
      </c>
      <c r="Z48" s="8">
        <v>12</v>
      </c>
      <c r="AA48" s="49">
        <v>12</v>
      </c>
      <c r="AB48" s="49">
        <v>36</v>
      </c>
      <c r="AC48" s="49"/>
      <c r="AD48" s="49"/>
    </row>
    <row r="49" spans="1:30" ht="14.25" customHeight="1">
      <c r="A49" s="57" t="s">
        <v>3</v>
      </c>
      <c r="B49" s="58">
        <f>SUM(B13:B48)</f>
        <v>401233</v>
      </c>
      <c r="C49" s="59">
        <f aca="true" t="shared" si="26" ref="C49:H49">SUM(C13:C48)</f>
        <v>136286</v>
      </c>
      <c r="D49" s="59">
        <f t="shared" si="26"/>
        <v>537519</v>
      </c>
      <c r="E49" s="59">
        <f t="shared" si="26"/>
        <v>59605</v>
      </c>
      <c r="F49" s="59">
        <f t="shared" si="26"/>
        <v>14848</v>
      </c>
      <c r="G49" s="59">
        <f t="shared" si="26"/>
        <v>29196</v>
      </c>
      <c r="H49" s="59">
        <f t="shared" si="26"/>
        <v>641168</v>
      </c>
      <c r="I49" s="59">
        <f aca="true" t="shared" si="27" ref="I49:O49">SUM(I13:I48)</f>
        <v>212200</v>
      </c>
      <c r="J49" s="59">
        <f t="shared" si="27"/>
        <v>106106</v>
      </c>
      <c r="K49" s="59">
        <f t="shared" si="27"/>
        <v>136875</v>
      </c>
      <c r="L49" s="59">
        <f t="shared" si="27"/>
        <v>17372</v>
      </c>
      <c r="M49" s="59">
        <f t="shared" si="27"/>
        <v>4400</v>
      </c>
      <c r="N49" s="59">
        <f t="shared" si="27"/>
        <v>476953</v>
      </c>
      <c r="O49" s="59">
        <f t="shared" si="27"/>
        <v>164215</v>
      </c>
      <c r="R49" s="11"/>
      <c r="S49" s="8"/>
      <c r="T49" s="8">
        <v>1</v>
      </c>
      <c r="U49" s="8"/>
      <c r="V49" s="8">
        <v>31</v>
      </c>
      <c r="W49" s="8">
        <f>IF($E$4&gt;=19560,1,IF(OR(AND($E$4&gt;=18300,#REF!="Y",$E$7&gt;1),AND($E$4&gt;=18300,#REF!="N",$E$7=1)),IF(lecturer!$E$7-lecturer!AA48=0,0,1),IF(OR(AND($E$4&gt;=18300,#REF!="N",$E$7&gt;1),AND($E$4&gt;=18300,#REF!="Y",$E$7=1)),IF(lecturer!$E$7-lecturer!Y48=0,0,1),IF(lecturer!$E$7-lecturer!Z48=0,0,1))))</f>
        <v>1</v>
      </c>
      <c r="X49" s="35">
        <f>IF(($E$7-Z49)=0,0,1)</f>
        <v>1</v>
      </c>
      <c r="Y49" s="8"/>
      <c r="Z49" s="8"/>
      <c r="AA49" s="49"/>
      <c r="AB49" s="49">
        <v>37</v>
      </c>
      <c r="AC49" s="49"/>
      <c r="AD49" s="49"/>
    </row>
    <row r="50" spans="1:30" ht="11.25" customHeight="1">
      <c r="A50" s="60" t="s">
        <v>14</v>
      </c>
      <c r="B50" s="60"/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1"/>
      <c r="S50" s="8"/>
      <c r="T50" s="8"/>
      <c r="U50" s="8"/>
      <c r="V50" s="8"/>
      <c r="W50" s="8"/>
      <c r="X50" s="8"/>
      <c r="Y50" s="8"/>
      <c r="Z50" s="8"/>
      <c r="AA50" s="49"/>
      <c r="AB50" s="49"/>
      <c r="AC50" s="49"/>
      <c r="AD50" s="49"/>
    </row>
    <row r="51" spans="1:19" ht="14.25" customHeight="1">
      <c r="A51" s="62" t="s">
        <v>31</v>
      </c>
      <c r="B51" s="63"/>
      <c r="C51" s="63"/>
      <c r="D51" s="63"/>
      <c r="E51" s="64"/>
      <c r="F51" s="51">
        <f>SUM(O13:O44)</f>
        <v>114163</v>
      </c>
      <c r="G51" s="82" t="s">
        <v>6</v>
      </c>
      <c r="H51" s="83"/>
      <c r="I51" s="83"/>
      <c r="J51" s="84"/>
      <c r="K51" s="52">
        <f>ROUND(F51*0.4,0)</f>
        <v>45665</v>
      </c>
      <c r="L51" s="82" t="s">
        <v>13</v>
      </c>
      <c r="M51" s="83"/>
      <c r="N51" s="83"/>
      <c r="O51" s="84"/>
      <c r="P51" s="53"/>
      <c r="Q51" s="53"/>
      <c r="R51" s="53"/>
      <c r="S51" s="56">
        <f>F51-K51</f>
        <v>68498</v>
      </c>
    </row>
    <row r="52" spans="1:19" ht="16.5" customHeight="1">
      <c r="A52" s="65" t="s">
        <v>32</v>
      </c>
      <c r="B52" s="66"/>
      <c r="C52" s="66"/>
      <c r="D52" s="66"/>
      <c r="E52" s="67"/>
      <c r="F52" s="54">
        <f>SUM(O45:O48)</f>
        <v>50052</v>
      </c>
      <c r="G52" s="55"/>
      <c r="H52" s="55"/>
      <c r="I52" s="55"/>
      <c r="J52" s="55"/>
      <c r="K52" s="53"/>
      <c r="L52" s="53"/>
      <c r="M52" s="53"/>
      <c r="N52" s="53"/>
      <c r="O52" s="53"/>
      <c r="P52" s="53"/>
      <c r="Q52" s="53"/>
      <c r="R52" s="53"/>
      <c r="S52" s="53"/>
    </row>
    <row r="53" spans="1:29" ht="11.25" customHeight="1">
      <c r="A53" s="39"/>
      <c r="B53" s="39"/>
      <c r="C53" s="39"/>
      <c r="D53" s="39"/>
      <c r="E53" s="39"/>
      <c r="F53" s="39"/>
      <c r="G53" s="39"/>
      <c r="H53" s="39"/>
      <c r="I53" s="39"/>
      <c r="J53" s="39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</row>
  </sheetData>
  <sheetProtection password="83AF" sheet="1" objects="1" scenarios="1"/>
  <mergeCells count="18">
    <mergeCell ref="I11:O11"/>
    <mergeCell ref="P40:Q40"/>
    <mergeCell ref="A8:D8"/>
    <mergeCell ref="A7:D7"/>
    <mergeCell ref="A9:D9"/>
    <mergeCell ref="A10:D10"/>
    <mergeCell ref="I10:N10"/>
    <mergeCell ref="A11:H11"/>
    <mergeCell ref="A50:O50"/>
    <mergeCell ref="A51:E51"/>
    <mergeCell ref="A52:E52"/>
    <mergeCell ref="A1:O3"/>
    <mergeCell ref="A6:D6"/>
    <mergeCell ref="A5:D5"/>
    <mergeCell ref="A4:D4"/>
    <mergeCell ref="L51:O51"/>
    <mergeCell ref="G51:J51"/>
    <mergeCell ref="I4:O9"/>
  </mergeCells>
  <dataValidations count="5">
    <dataValidation type="list" allowBlank="1" showInputMessage="1" showErrorMessage="1" sqref="F5">
      <formula1>"8000, 8275, 8550, 8775, 9100, 9375, 9650"</formula1>
    </dataValidation>
    <dataValidation type="list" allowBlank="1" showInputMessage="1" showErrorMessage="1" sqref="E7:F7">
      <formula1>"1, 2, 3, 4, 5, 6, 7, 8, 9, 10,11, 12"</formula1>
    </dataValidation>
    <dataValidation type="list" allowBlank="1" showInputMessage="1" showErrorMessage="1" sqref="O10">
      <formula1>"3200,1600,800"</formula1>
    </dataValidation>
    <dataValidation type="list" allowBlank="1" showInputMessage="1" showErrorMessage="1" sqref="E5">
      <formula1>"8000, 8275, 8550, 8825, 9100, 9375, 9650"</formula1>
    </dataValidation>
    <dataValidation type="list" allowBlank="1" showInputMessage="1" showErrorMessage="1" sqref="E9">
      <formula1>"y, n"</formula1>
    </dataValidation>
  </dataValidations>
  <printOptions/>
  <pageMargins left="0.75" right="0.75" top="1.6666666666666667" bottom="1.6666666666666667" header="0" footer="0"/>
  <pageSetup cellComments="asDisplayed" horizontalDpi="600" verticalDpi="600" orientation="portrait" r:id="rId1"/>
  <headerFooter alignWithMargins="0">
    <oddHeader>&amp;L&amp;C&amp;R</oddHeader>
    <oddFooter>&amp;L&amp;C&amp;R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206"/>
  <sheetViews>
    <sheetView zoomScaleSheetLayoutView="1" workbookViewId="0" topLeftCell="A1">
      <selection activeCell="M41" sqref="M41"/>
      <selection activeCell="N11" sqref="N11"/>
    </sheetView>
  </sheetViews>
  <sheetFormatPr defaultColWidth="9.140625" defaultRowHeight="12.75"/>
  <cols>
    <col min="1" max="3" width="9.140625" style="2" customWidth="1"/>
    <col min="4" max="4" width="15.7109375" style="2" customWidth="1"/>
    <col min="5" max="6" width="9.140625" style="2" customWidth="1"/>
    <col min="7" max="7" width="17.57421875" style="2" customWidth="1"/>
    <col min="8" max="8" width="15.7109375" style="2" customWidth="1"/>
    <col min="9" max="10" width="9.140625" style="2" customWidth="1"/>
    <col min="11" max="11" width="15.7109375" style="2" customWidth="1"/>
    <col min="12" max="16" width="9.140625" style="2" customWidth="1"/>
  </cols>
  <sheetData>
    <row r="1" spans="1:16" ht="12.75">
      <c r="A1" s="3">
        <v>8000</v>
      </c>
      <c r="B1" s="3">
        <v>15600</v>
      </c>
      <c r="C1" s="3"/>
      <c r="D1"/>
      <c r="E1" s="2">
        <v>13260</v>
      </c>
      <c r="F1" s="3">
        <v>37400</v>
      </c>
      <c r="G1"/>
      <c r="H1"/>
      <c r="I1">
        <v>16400</v>
      </c>
      <c r="J1">
        <v>43390</v>
      </c>
      <c r="K1"/>
      <c r="L1"/>
      <c r="M1"/>
      <c r="N1"/>
      <c r="O1" s="3"/>
      <c r="P1" s="3"/>
    </row>
    <row r="2" spans="1:16" ht="12.75">
      <c r="A2" s="3">
        <v>8275</v>
      </c>
      <c r="B2" s="3">
        <v>15600</v>
      </c>
      <c r="C2" s="3"/>
      <c r="D2"/>
      <c r="E2" s="2">
        <v>13680</v>
      </c>
      <c r="F2" s="3">
        <v>37400</v>
      </c>
      <c r="G2"/>
      <c r="H2"/>
      <c r="I2">
        <f>I1+450</f>
        <v>16850</v>
      </c>
      <c r="J2">
        <v>43390</v>
      </c>
      <c r="K2"/>
      <c r="L2"/>
      <c r="M2"/>
      <c r="N2"/>
      <c r="O2" s="3"/>
      <c r="P2" s="3"/>
    </row>
    <row r="3" spans="1:16" ht="12.75">
      <c r="A3" s="3">
        <v>8550</v>
      </c>
      <c r="B3" s="3">
        <v>15990</v>
      </c>
      <c r="C3" s="3"/>
      <c r="D3"/>
      <c r="E3" s="2">
        <v>14100</v>
      </c>
      <c r="F3" s="3">
        <v>38530</v>
      </c>
      <c r="G3"/>
      <c r="H3"/>
      <c r="I3">
        <f aca="true" t="shared" si="0" ref="I3:I10">I2+450</f>
        <v>17300</v>
      </c>
      <c r="J3">
        <f>INT(J1*1.03/10+0.99)*10</f>
        <v>44700</v>
      </c>
      <c r="K3"/>
      <c r="L3"/>
      <c r="M3"/>
      <c r="N3"/>
      <c r="O3" s="3"/>
      <c r="P3" s="3"/>
    </row>
    <row r="4" spans="1:16" ht="12.75">
      <c r="A4" s="3">
        <v>8825</v>
      </c>
      <c r="B4" s="3">
        <v>16420</v>
      </c>
      <c r="C4" s="3"/>
      <c r="D4"/>
      <c r="E4" s="2">
        <v>14520</v>
      </c>
      <c r="F4" s="3">
        <v>38530</v>
      </c>
      <c r="G4"/>
      <c r="H4"/>
      <c r="I4">
        <f t="shared" si="0"/>
        <v>17750</v>
      </c>
      <c r="J4">
        <f aca="true" t="shared" si="1" ref="J4:J16">INT(J2*1.03/10+0.99)*10</f>
        <v>44700</v>
      </c>
      <c r="K4"/>
      <c r="L4"/>
      <c r="M4"/>
      <c r="N4"/>
      <c r="O4" s="3"/>
      <c r="P4" s="3"/>
    </row>
    <row r="5" spans="1:16" ht="12.75">
      <c r="A5" s="3">
        <v>9000</v>
      </c>
      <c r="B5" s="3">
        <v>16740</v>
      </c>
      <c r="C5" s="3"/>
      <c r="D5"/>
      <c r="E5" s="2">
        <v>14940</v>
      </c>
      <c r="F5" s="3">
        <v>39690</v>
      </c>
      <c r="G5"/>
      <c r="H5"/>
      <c r="I5">
        <f t="shared" si="0"/>
        <v>18200</v>
      </c>
      <c r="J5">
        <f t="shared" si="1"/>
        <v>46050</v>
      </c>
      <c r="K5"/>
      <c r="L5"/>
      <c r="M5"/>
      <c r="N5"/>
      <c r="O5" s="3"/>
      <c r="P5" s="3"/>
    </row>
    <row r="6" spans="1:16" ht="12.75">
      <c r="A6" s="3">
        <v>9000</v>
      </c>
      <c r="B6" s="3">
        <v>16740</v>
      </c>
      <c r="C6" s="3"/>
      <c r="D6"/>
      <c r="E6" s="2">
        <v>15360</v>
      </c>
      <c r="F6" s="3">
        <v>39690</v>
      </c>
      <c r="G6"/>
      <c r="H6"/>
      <c r="I6">
        <f t="shared" si="0"/>
        <v>18650</v>
      </c>
      <c r="J6">
        <f t="shared" si="1"/>
        <v>46050</v>
      </c>
      <c r="K6"/>
      <c r="L6"/>
      <c r="M6"/>
      <c r="N6"/>
      <c r="O6" s="3"/>
      <c r="P6" s="3"/>
    </row>
    <row r="7" spans="1:16" ht="12.75">
      <c r="A7" s="3">
        <v>9100</v>
      </c>
      <c r="B7" s="3">
        <v>16930</v>
      </c>
      <c r="C7" s="3"/>
      <c r="D7"/>
      <c r="E7" s="2">
        <v>15780</v>
      </c>
      <c r="F7" s="3">
        <v>40890</v>
      </c>
      <c r="G7"/>
      <c r="H7"/>
      <c r="I7">
        <f t="shared" si="0"/>
        <v>19100</v>
      </c>
      <c r="J7">
        <f t="shared" si="1"/>
        <v>47440</v>
      </c>
      <c r="K7"/>
      <c r="L7"/>
      <c r="M7"/>
      <c r="N7"/>
      <c r="O7" s="3"/>
      <c r="P7" s="3"/>
    </row>
    <row r="8" spans="1:16" ht="12.75">
      <c r="A8" s="3">
        <v>9275</v>
      </c>
      <c r="B8" s="3">
        <v>17260</v>
      </c>
      <c r="C8" s="3"/>
      <c r="D8"/>
      <c r="E8" s="2">
        <v>16200</v>
      </c>
      <c r="F8" s="3">
        <v>40890</v>
      </c>
      <c r="G8"/>
      <c r="H8"/>
      <c r="I8">
        <f t="shared" si="0"/>
        <v>19550</v>
      </c>
      <c r="J8">
        <f t="shared" si="1"/>
        <v>47440</v>
      </c>
      <c r="K8"/>
      <c r="L8"/>
      <c r="M8"/>
      <c r="N8"/>
      <c r="O8" s="3"/>
      <c r="P8" s="3"/>
    </row>
    <row r="9" spans="1:16" ht="12.75">
      <c r="A9" s="3">
        <v>9375</v>
      </c>
      <c r="B9" s="3">
        <v>17440</v>
      </c>
      <c r="C9" s="3"/>
      <c r="D9"/>
      <c r="E9" s="2">
        <v>16620</v>
      </c>
      <c r="F9" s="3">
        <v>42120</v>
      </c>
      <c r="G9"/>
      <c r="H9"/>
      <c r="I9">
        <f t="shared" si="0"/>
        <v>20000</v>
      </c>
      <c r="J9">
        <f t="shared" si="1"/>
        <v>48870</v>
      </c>
      <c r="K9"/>
      <c r="L9"/>
      <c r="M9"/>
      <c r="N9"/>
      <c r="O9" s="3"/>
      <c r="P9" s="3"/>
    </row>
    <row r="10" spans="1:16" ht="12.75">
      <c r="A10" s="3">
        <v>9550</v>
      </c>
      <c r="B10" s="3">
        <v>17770</v>
      </c>
      <c r="C10" s="3"/>
      <c r="D10"/>
      <c r="E10" s="2">
        <v>17040</v>
      </c>
      <c r="F10" s="3">
        <v>42120</v>
      </c>
      <c r="G10"/>
      <c r="H10"/>
      <c r="I10">
        <f t="shared" si="0"/>
        <v>20450</v>
      </c>
      <c r="J10">
        <f t="shared" si="1"/>
        <v>48870</v>
      </c>
      <c r="K10"/>
      <c r="L10"/>
      <c r="M10"/>
      <c r="N10"/>
      <c r="O10" s="3"/>
      <c r="P10" s="3"/>
    </row>
    <row r="11" spans="1:16" ht="12.75">
      <c r="A11" s="3">
        <v>9650</v>
      </c>
      <c r="B11" s="3">
        <v>17950</v>
      </c>
      <c r="C11" s="3"/>
      <c r="D11"/>
      <c r="E11" s="2">
        <v>17460</v>
      </c>
      <c r="F11" s="3">
        <v>43390</v>
      </c>
      <c r="G11"/>
      <c r="H11"/>
      <c r="I11">
        <f>I10+450</f>
        <v>20900</v>
      </c>
      <c r="J11">
        <f t="shared" si="1"/>
        <v>50340</v>
      </c>
      <c r="K11"/>
      <c r="L11"/>
      <c r="M11"/>
      <c r="N11"/>
      <c r="O11" s="3"/>
      <c r="P11" s="3"/>
    </row>
    <row r="12" spans="1:16" ht="12.75">
      <c r="A12" s="3">
        <v>9925</v>
      </c>
      <c r="B12" s="3">
        <v>18470</v>
      </c>
      <c r="C12" s="3"/>
      <c r="D12"/>
      <c r="E12" s="2">
        <v>17880</v>
      </c>
      <c r="F12" s="3">
        <v>43390</v>
      </c>
      <c r="G12"/>
      <c r="H12"/>
      <c r="I12">
        <f>I11+500</f>
        <v>21400</v>
      </c>
      <c r="J12">
        <f t="shared" si="1"/>
        <v>50340</v>
      </c>
      <c r="K12"/>
      <c r="L12"/>
      <c r="M12"/>
      <c r="N12"/>
      <c r="O12" s="3"/>
      <c r="P12" s="3"/>
    </row>
    <row r="13" spans="1:16" ht="12.75">
      <c r="A13" s="3">
        <v>10000</v>
      </c>
      <c r="B13" s="3">
        <v>18600</v>
      </c>
      <c r="C13" s="3"/>
      <c r="D13"/>
      <c r="E13" s="2">
        <v>18300</v>
      </c>
      <c r="F13" s="3">
        <v>44700</v>
      </c>
      <c r="G13"/>
      <c r="H13"/>
      <c r="I13">
        <f>I12+500</f>
        <v>21900</v>
      </c>
      <c r="J13">
        <f t="shared" si="1"/>
        <v>51860</v>
      </c>
      <c r="K13"/>
      <c r="L13"/>
      <c r="M13"/>
      <c r="N13"/>
      <c r="O13" s="3"/>
      <c r="P13" s="3"/>
    </row>
    <row r="14" spans="1:16" ht="12.75">
      <c r="A14" s="3">
        <v>10200</v>
      </c>
      <c r="B14" s="3">
        <v>18980</v>
      </c>
      <c r="C14" s="3"/>
      <c r="D14"/>
      <c r="E14" s="2">
        <v>18720</v>
      </c>
      <c r="F14" s="3">
        <v>44700</v>
      </c>
      <c r="G14"/>
      <c r="H14"/>
      <c r="I14">
        <f>I13+500</f>
        <v>22400</v>
      </c>
      <c r="J14">
        <f t="shared" si="1"/>
        <v>51860</v>
      </c>
      <c r="K14"/>
      <c r="L14"/>
      <c r="M14"/>
      <c r="N14"/>
      <c r="O14" s="3"/>
      <c r="P14" s="3"/>
    </row>
    <row r="15" spans="1:16" ht="12.75">
      <c r="A15" s="3">
        <v>10325</v>
      </c>
      <c r="B15" s="3">
        <v>19210</v>
      </c>
      <c r="C15" s="3"/>
      <c r="D15"/>
      <c r="E15" s="2">
        <v>19140</v>
      </c>
      <c r="F15" s="3">
        <v>46050</v>
      </c>
      <c r="G15"/>
      <c r="H15"/>
      <c r="I15">
        <f>I14+500</f>
        <v>22900</v>
      </c>
      <c r="J15">
        <f t="shared" si="1"/>
        <v>53420</v>
      </c>
      <c r="K15"/>
      <c r="L15"/>
      <c r="M15"/>
      <c r="N15"/>
      <c r="O15" s="3"/>
      <c r="P15" s="3"/>
    </row>
    <row r="16" spans="1:16" ht="12.75">
      <c r="A16" s="3">
        <v>10325</v>
      </c>
      <c r="B16" s="3">
        <v>19210</v>
      </c>
      <c r="C16" s="3"/>
      <c r="D16"/>
      <c r="E16" s="2">
        <v>19560</v>
      </c>
      <c r="F16" s="3">
        <v>46050</v>
      </c>
      <c r="G16"/>
      <c r="H16"/>
      <c r="I16">
        <f>I15+500</f>
        <v>23400</v>
      </c>
      <c r="J16">
        <f t="shared" si="1"/>
        <v>53420</v>
      </c>
      <c r="K16"/>
      <c r="L16"/>
      <c r="M16"/>
      <c r="N16"/>
      <c r="O16" s="3"/>
      <c r="P16" s="3"/>
    </row>
    <row r="17" spans="1:16" ht="12.75">
      <c r="A17" s="3">
        <v>10475</v>
      </c>
      <c r="B17" s="3">
        <v>19490</v>
      </c>
      <c r="C17" s="3"/>
      <c r="D17"/>
      <c r="G17"/>
      <c r="H17"/>
      <c r="K17"/>
      <c r="L17"/>
      <c r="M17"/>
      <c r="N17"/>
      <c r="O17" s="3"/>
      <c r="P17" s="3"/>
    </row>
    <row r="18" spans="1:16" ht="12.75">
      <c r="A18" s="3">
        <v>10650</v>
      </c>
      <c r="B18" s="3">
        <v>19810</v>
      </c>
      <c r="C18" s="3"/>
      <c r="D18"/>
      <c r="G18"/>
      <c r="H18"/>
      <c r="K18"/>
      <c r="L18"/>
      <c r="M18"/>
      <c r="N18"/>
      <c r="O18" s="3"/>
      <c r="P18" s="3"/>
    </row>
    <row r="19" spans="1:16" ht="12.75">
      <c r="A19" s="3">
        <v>10650</v>
      </c>
      <c r="B19" s="3">
        <v>19810</v>
      </c>
      <c r="C19" s="3"/>
      <c r="D19"/>
      <c r="G19"/>
      <c r="H19"/>
      <c r="K19"/>
      <c r="L19"/>
      <c r="M19"/>
      <c r="N19"/>
      <c r="O19" s="3"/>
      <c r="P19" s="3"/>
    </row>
    <row r="20" spans="1:16" ht="12.75">
      <c r="A20" s="3">
        <v>10650</v>
      </c>
      <c r="B20" s="3">
        <v>19810</v>
      </c>
      <c r="C20" s="3"/>
      <c r="D20"/>
      <c r="G20"/>
      <c r="H20"/>
      <c r="K20"/>
      <c r="L20"/>
      <c r="M20"/>
      <c r="N20"/>
      <c r="O20" s="3"/>
      <c r="P20" s="3"/>
    </row>
    <row r="21" spans="1:16" ht="12.75">
      <c r="A21" s="3">
        <v>10750</v>
      </c>
      <c r="B21" s="3">
        <v>20000</v>
      </c>
      <c r="C21" s="3"/>
      <c r="D21"/>
      <c r="G21"/>
      <c r="H21"/>
      <c r="K21"/>
      <c r="L21"/>
      <c r="M21"/>
      <c r="N21"/>
      <c r="O21" s="3"/>
      <c r="P21" s="3"/>
    </row>
    <row r="22" spans="1:16" ht="12.75">
      <c r="A22" s="3">
        <v>10975</v>
      </c>
      <c r="B22" s="3">
        <v>20420</v>
      </c>
      <c r="C22" s="3"/>
      <c r="D22"/>
      <c r="G22"/>
      <c r="H22"/>
      <c r="K22"/>
      <c r="L22"/>
      <c r="M22"/>
      <c r="N22"/>
      <c r="O22" s="3"/>
      <c r="P22" s="3"/>
    </row>
    <row r="23" spans="1:16" ht="12.75">
      <c r="A23" s="3">
        <v>10975</v>
      </c>
      <c r="B23" s="3">
        <v>20420</v>
      </c>
      <c r="C23" s="3"/>
      <c r="D23"/>
      <c r="G23"/>
      <c r="H23"/>
      <c r="K23"/>
      <c r="L23"/>
      <c r="M23"/>
      <c r="N23"/>
      <c r="O23" s="3"/>
      <c r="P23" s="3"/>
    </row>
    <row r="24" spans="1:16" ht="12.75">
      <c r="A24" s="3">
        <v>10975</v>
      </c>
      <c r="B24" s="3">
        <v>20420</v>
      </c>
      <c r="C24" s="3"/>
      <c r="D24"/>
      <c r="G24"/>
      <c r="H24"/>
      <c r="K24"/>
      <c r="L24"/>
      <c r="M24"/>
      <c r="N24"/>
      <c r="O24" s="3"/>
      <c r="P24" s="3"/>
    </row>
    <row r="25" spans="1:16" ht="12.75">
      <c r="A25" s="3">
        <v>11025</v>
      </c>
      <c r="B25" s="3">
        <v>20510</v>
      </c>
      <c r="C25" s="3"/>
      <c r="D25"/>
      <c r="E25"/>
      <c r="F25"/>
      <c r="G25"/>
      <c r="H25"/>
      <c r="I25"/>
      <c r="J25"/>
      <c r="K25"/>
      <c r="L25"/>
      <c r="M25"/>
      <c r="N25"/>
      <c r="O25" s="3"/>
      <c r="P25" s="3"/>
    </row>
    <row r="26" spans="1:16" ht="12.75">
      <c r="A26" s="3">
        <v>11300</v>
      </c>
      <c r="B26" s="3">
        <v>21020</v>
      </c>
      <c r="C26" s="3"/>
      <c r="D26"/>
      <c r="E26"/>
      <c r="F26"/>
      <c r="G26"/>
      <c r="H26"/>
      <c r="I26"/>
      <c r="J26"/>
      <c r="K26"/>
      <c r="L26"/>
      <c r="M26"/>
      <c r="N26"/>
      <c r="O26" s="3"/>
      <c r="P26" s="3"/>
    </row>
    <row r="27" spans="1:16" ht="12.75">
      <c r="A27" s="3">
        <v>11300</v>
      </c>
      <c r="B27" s="3">
        <v>21020</v>
      </c>
      <c r="C27" s="3"/>
      <c r="D27"/>
      <c r="E27"/>
      <c r="F27"/>
      <c r="G27"/>
      <c r="H27"/>
      <c r="I27"/>
      <c r="J27"/>
      <c r="K27"/>
      <c r="L27"/>
      <c r="M27"/>
      <c r="N27"/>
      <c r="O27" s="3"/>
      <c r="P27" s="3"/>
    </row>
    <row r="28" spans="1:16" ht="12.75">
      <c r="A28" s="3">
        <v>11300</v>
      </c>
      <c r="B28" s="3">
        <v>21020</v>
      </c>
      <c r="C28" s="3"/>
      <c r="D28"/>
      <c r="E28"/>
      <c r="F28"/>
      <c r="G28"/>
      <c r="H28"/>
      <c r="I28"/>
      <c r="J28"/>
      <c r="K28"/>
      <c r="L28"/>
      <c r="M28"/>
      <c r="N28"/>
      <c r="O28" s="3"/>
      <c r="P28" s="3"/>
    </row>
    <row r="29" spans="1:16" ht="12.75">
      <c r="A29" s="3">
        <v>11575</v>
      </c>
      <c r="B29" s="3">
        <v>21530</v>
      </c>
      <c r="C29" s="3"/>
      <c r="D29"/>
      <c r="E29"/>
      <c r="F29"/>
      <c r="G29"/>
      <c r="H29"/>
      <c r="I29"/>
      <c r="J29"/>
      <c r="K29"/>
      <c r="L29"/>
      <c r="M29"/>
      <c r="N29"/>
      <c r="O29" s="3"/>
      <c r="P29" s="3"/>
    </row>
    <row r="30" spans="1:16" ht="12.75">
      <c r="A30" s="3">
        <v>11625</v>
      </c>
      <c r="B30" s="3">
        <v>21630</v>
      </c>
      <c r="C30" s="3"/>
      <c r="D30"/>
      <c r="E30"/>
      <c r="F30"/>
      <c r="G30"/>
      <c r="H30"/>
      <c r="I30"/>
      <c r="J30"/>
      <c r="K30"/>
      <c r="L30"/>
      <c r="M30"/>
      <c r="N30"/>
      <c r="O30" s="3"/>
      <c r="P30" s="3"/>
    </row>
    <row r="31" spans="1:16" ht="12.75">
      <c r="A31" s="3">
        <v>11625</v>
      </c>
      <c r="B31" s="3">
        <v>21630</v>
      </c>
      <c r="C31" s="3"/>
      <c r="O31" s="3"/>
      <c r="P31" s="3"/>
    </row>
    <row r="32" spans="1:16" ht="12.75">
      <c r="A32" s="3">
        <v>11850</v>
      </c>
      <c r="B32" s="3">
        <v>22050</v>
      </c>
      <c r="C32" s="3"/>
      <c r="O32" s="3"/>
      <c r="P32" s="3"/>
    </row>
    <row r="33" spans="1:16" ht="12.75">
      <c r="A33" s="3">
        <v>11950</v>
      </c>
      <c r="B33" s="3">
        <v>22230</v>
      </c>
      <c r="C33" s="3"/>
      <c r="O33" s="3"/>
      <c r="P33" s="3"/>
    </row>
    <row r="34" spans="1:16" ht="12.75">
      <c r="A34" s="3">
        <v>11950</v>
      </c>
      <c r="B34" s="3">
        <v>22230</v>
      </c>
      <c r="C34" s="3"/>
      <c r="O34" s="3"/>
      <c r="P34" s="3"/>
    </row>
    <row r="35" spans="1:16" ht="12.75">
      <c r="A35" s="3">
        <v>12000</v>
      </c>
      <c r="B35" s="3">
        <v>22320</v>
      </c>
      <c r="C35" s="3"/>
      <c r="O35" s="3"/>
      <c r="P35" s="3"/>
    </row>
    <row r="36" spans="1:16" ht="12.75">
      <c r="A36" s="3">
        <v>12000</v>
      </c>
      <c r="B36" s="3">
        <v>22320</v>
      </c>
      <c r="C36" s="3"/>
      <c r="O36" s="3"/>
      <c r="P36" s="3"/>
    </row>
    <row r="37" spans="1:16" ht="12.75">
      <c r="A37" s="3">
        <v>12125</v>
      </c>
      <c r="B37" s="3">
        <v>22560</v>
      </c>
      <c r="C37" s="3"/>
      <c r="O37" s="3"/>
      <c r="P37" s="3"/>
    </row>
    <row r="38" spans="1:16" ht="12.75">
      <c r="A38" s="3">
        <v>12275</v>
      </c>
      <c r="B38" s="3">
        <v>22840</v>
      </c>
      <c r="C38" s="3"/>
      <c r="O38" s="3"/>
      <c r="P38" s="3"/>
    </row>
    <row r="39" spans="1:16" ht="12.75">
      <c r="A39" s="3">
        <v>12275</v>
      </c>
      <c r="B39" s="3">
        <v>22840</v>
      </c>
      <c r="C39" s="3"/>
      <c r="O39" s="3"/>
      <c r="P39" s="3"/>
    </row>
    <row r="40" spans="1:16" ht="12.75">
      <c r="A40" s="3">
        <v>12375</v>
      </c>
      <c r="B40" s="3">
        <v>23020</v>
      </c>
      <c r="C40" s="3"/>
      <c r="O40" s="3"/>
      <c r="P40" s="3"/>
    </row>
    <row r="41" spans="1:16" ht="12.75">
      <c r="A41" s="3">
        <v>12375</v>
      </c>
      <c r="B41" s="3">
        <v>23020</v>
      </c>
      <c r="C41" s="3"/>
      <c r="O41" s="3"/>
      <c r="P41" s="3"/>
    </row>
    <row r="42" spans="1:16" ht="12.75">
      <c r="A42" s="3">
        <v>12400</v>
      </c>
      <c r="B42" s="3">
        <v>23070</v>
      </c>
      <c r="C42" s="3"/>
      <c r="O42" s="3"/>
      <c r="P42" s="3"/>
    </row>
    <row r="43" spans="1:16" ht="12.75">
      <c r="A43" s="3">
        <v>12420</v>
      </c>
      <c r="B43" s="3">
        <f>INT(A43*1.86/10+0.99)*10</f>
        <v>23110</v>
      </c>
      <c r="C43" s="3"/>
      <c r="O43" s="3"/>
      <c r="P43" s="3"/>
    </row>
    <row r="44" spans="1:16" ht="12.75">
      <c r="A44" s="3">
        <v>12600</v>
      </c>
      <c r="B44" s="3">
        <v>23440</v>
      </c>
      <c r="C44" s="3"/>
      <c r="O44" s="3"/>
      <c r="P44" s="3"/>
    </row>
    <row r="45" spans="1:16" ht="12.75">
      <c r="A45" s="3">
        <v>12600</v>
      </c>
      <c r="B45" s="3">
        <v>23440</v>
      </c>
      <c r="C45" s="3"/>
      <c r="O45" s="3"/>
      <c r="P45" s="3"/>
    </row>
    <row r="46" spans="1:16" ht="12.75">
      <c r="A46" s="3">
        <v>12675</v>
      </c>
      <c r="B46" s="3">
        <v>23580</v>
      </c>
      <c r="C46" s="3"/>
      <c r="O46" s="3"/>
      <c r="P46" s="3"/>
    </row>
    <row r="47" spans="1:16" ht="12.75">
      <c r="A47" s="3">
        <v>12750</v>
      </c>
      <c r="B47" s="3">
        <v>23720</v>
      </c>
      <c r="C47" s="3"/>
      <c r="O47" s="3"/>
      <c r="P47" s="3"/>
    </row>
    <row r="48" spans="1:16" ht="12.75">
      <c r="A48" s="3">
        <v>12750</v>
      </c>
      <c r="B48" s="3">
        <v>23720</v>
      </c>
      <c r="C48" s="3"/>
      <c r="O48" s="3"/>
      <c r="P48" s="3"/>
    </row>
    <row r="49" spans="1:16" ht="12.75">
      <c r="A49" s="3">
        <v>12750</v>
      </c>
      <c r="B49" s="3">
        <v>23720</v>
      </c>
      <c r="C49" s="3"/>
      <c r="O49"/>
      <c r="P49"/>
    </row>
    <row r="50" spans="1:16" ht="12.75">
      <c r="A50" s="3">
        <v>12840</v>
      </c>
      <c r="B50" s="3">
        <f>INT(A50*1.86/10+0.99)*10</f>
        <v>23890</v>
      </c>
      <c r="C50" s="3"/>
      <c r="F50" s="3"/>
      <c r="O50"/>
      <c r="P50"/>
    </row>
    <row r="51" spans="1:16" ht="12.75">
      <c r="A51" s="3">
        <v>12925</v>
      </c>
      <c r="B51" s="3">
        <v>24050</v>
      </c>
      <c r="C51" s="3"/>
      <c r="O51"/>
      <c r="P51"/>
    </row>
    <row r="52" spans="1:16" ht="12.75">
      <c r="A52" s="3">
        <v>12925</v>
      </c>
      <c r="B52" s="3">
        <v>24050</v>
      </c>
      <c r="C52" s="3"/>
      <c r="O52"/>
      <c r="P52"/>
    </row>
    <row r="53" spans="1:3" ht="12.75">
      <c r="A53" s="3">
        <v>12950</v>
      </c>
      <c r="B53" s="3">
        <v>24090</v>
      </c>
      <c r="C53" s="3"/>
    </row>
    <row r="54" spans="1:3" ht="12.75">
      <c r="A54" s="3">
        <v>13125</v>
      </c>
      <c r="B54" s="3">
        <v>24420</v>
      </c>
      <c r="C54" s="3"/>
    </row>
    <row r="55" spans="1:3" ht="12.75">
      <c r="A55" s="3">
        <v>13125</v>
      </c>
      <c r="B55" s="3">
        <v>24420</v>
      </c>
      <c r="C55" s="3"/>
    </row>
    <row r="56" spans="1:3" ht="12.75">
      <c r="A56" s="3">
        <v>13125</v>
      </c>
      <c r="B56" s="3">
        <v>24420</v>
      </c>
      <c r="C56" s="3"/>
    </row>
    <row r="57" spans="1:3" ht="12.75">
      <c r="A57" s="3">
        <v>13225</v>
      </c>
      <c r="B57" s="3">
        <v>24600</v>
      </c>
      <c r="C57" s="3"/>
    </row>
    <row r="58" spans="1:3" ht="12.75">
      <c r="A58" s="3">
        <v>13250</v>
      </c>
      <c r="B58" s="3">
        <v>24650</v>
      </c>
      <c r="C58" s="3"/>
    </row>
    <row r="59" spans="1:3" ht="12.75">
      <c r="A59" s="3">
        <v>13250</v>
      </c>
      <c r="B59" s="3">
        <v>24650</v>
      </c>
      <c r="C59" s="3"/>
    </row>
    <row r="60" spans="1:3" ht="12.75">
      <c r="A60" s="3">
        <v>13260</v>
      </c>
      <c r="B60" s="3">
        <f>INT(A60*1.86/10+0.99)*10</f>
        <v>24670</v>
      </c>
      <c r="C60" s="3"/>
    </row>
    <row r="61" spans="1:3" ht="12.75">
      <c r="A61" s="3">
        <v>13500</v>
      </c>
      <c r="B61" s="3">
        <v>25110</v>
      </c>
      <c r="C61" s="3"/>
    </row>
    <row r="62" spans="1:3" ht="12.75">
      <c r="A62" s="3">
        <v>13500</v>
      </c>
      <c r="B62" s="3">
        <v>25110</v>
      </c>
      <c r="C62" s="3"/>
    </row>
    <row r="63" spans="1:3" ht="12.75">
      <c r="A63" s="3">
        <v>13500</v>
      </c>
      <c r="B63" s="3">
        <v>25110</v>
      </c>
      <c r="C63" s="3"/>
    </row>
    <row r="64" spans="1:3" ht="12.75">
      <c r="A64" s="3">
        <v>13500</v>
      </c>
      <c r="B64" s="3">
        <v>25110</v>
      </c>
      <c r="C64" s="3"/>
    </row>
    <row r="65" spans="1:3" ht="12.75">
      <c r="A65" s="3">
        <v>13575</v>
      </c>
      <c r="B65" s="3">
        <v>25250</v>
      </c>
      <c r="C65" s="3"/>
    </row>
    <row r="66" spans="1:3" ht="12.75">
      <c r="A66" s="3">
        <v>13575</v>
      </c>
      <c r="B66" s="3">
        <v>25250</v>
      </c>
      <c r="C66" s="3"/>
    </row>
    <row r="67" spans="1:3" ht="12.75">
      <c r="A67" s="3">
        <v>13680</v>
      </c>
      <c r="B67" s="3">
        <f>INT(A67*1.86/10+0.99)*10</f>
        <v>25450</v>
      </c>
      <c r="C67" s="3"/>
    </row>
    <row r="68" spans="1:3" ht="12.75">
      <c r="A68" s="3">
        <v>13875</v>
      </c>
      <c r="B68" s="3">
        <v>25810</v>
      </c>
      <c r="C68" s="3"/>
    </row>
    <row r="69" spans="1:3" ht="12.75">
      <c r="A69" s="3">
        <v>13875</v>
      </c>
      <c r="B69" s="3">
        <v>25810</v>
      </c>
      <c r="C69" s="3"/>
    </row>
    <row r="70" spans="1:3" ht="12.75">
      <c r="A70" s="3">
        <v>13875</v>
      </c>
      <c r="B70" s="3">
        <v>25810</v>
      </c>
      <c r="C70" s="3"/>
    </row>
    <row r="71" spans="1:3" ht="12.75">
      <c r="A71" s="3">
        <v>13900</v>
      </c>
      <c r="B71" s="3">
        <v>25860</v>
      </c>
      <c r="C71" s="3"/>
    </row>
    <row r="72" spans="1:3" ht="12.75">
      <c r="A72" s="3">
        <v>13900</v>
      </c>
      <c r="B72" s="3">
        <v>25860</v>
      </c>
      <c r="C72" s="3"/>
    </row>
    <row r="73" spans="1:3" ht="12.75">
      <c r="A73" s="3">
        <v>14100</v>
      </c>
      <c r="B73" s="3">
        <f>INT(A73*1.86/10+0.99)*10</f>
        <v>26230</v>
      </c>
      <c r="C73" s="3"/>
    </row>
    <row r="74" spans="1:3" ht="12.75">
      <c r="A74" s="3">
        <v>14225</v>
      </c>
      <c r="B74" s="3">
        <v>26460</v>
      </c>
      <c r="C74" s="3"/>
    </row>
    <row r="75" spans="1:3" ht="12.75">
      <c r="A75" s="3">
        <v>14225</v>
      </c>
      <c r="B75" s="3">
        <v>26460</v>
      </c>
      <c r="C75" s="3"/>
    </row>
    <row r="76" spans="1:3" ht="12.75">
      <c r="A76" s="3">
        <v>14250</v>
      </c>
      <c r="B76" s="3">
        <v>26510</v>
      </c>
      <c r="C76" s="3"/>
    </row>
    <row r="77" spans="1:3" ht="12.75">
      <c r="A77" s="3">
        <v>14250</v>
      </c>
      <c r="B77" s="3">
        <v>26510</v>
      </c>
      <c r="C77" s="3"/>
    </row>
    <row r="78" spans="1:3" ht="12.75">
      <c r="A78" s="3">
        <v>14250</v>
      </c>
      <c r="B78" s="3">
        <v>26510</v>
      </c>
      <c r="C78" s="3"/>
    </row>
    <row r="79" spans="1:3" ht="12.75">
      <c r="A79" s="3">
        <v>14300</v>
      </c>
      <c r="B79" s="3">
        <v>26600</v>
      </c>
      <c r="C79" s="3"/>
    </row>
    <row r="80" spans="1:3" ht="12.75">
      <c r="A80" s="3">
        <v>14300</v>
      </c>
      <c r="B80" s="3">
        <v>26600</v>
      </c>
      <c r="C80" s="3"/>
    </row>
    <row r="81" spans="1:3" ht="12.75">
      <c r="A81" s="3">
        <v>14520</v>
      </c>
      <c r="B81" s="3">
        <f>INT(A81*1.86/10+0.99)*10</f>
        <v>27010</v>
      </c>
      <c r="C81" s="3"/>
    </row>
    <row r="82" spans="1:3" ht="12.75">
      <c r="A82" s="3">
        <v>14550</v>
      </c>
      <c r="B82" s="3">
        <v>27070</v>
      </c>
      <c r="C82" s="3"/>
    </row>
    <row r="83" spans="1:3" ht="12.75">
      <c r="A83" s="3">
        <v>14550</v>
      </c>
      <c r="B83" s="3">
        <v>27070</v>
      </c>
      <c r="C83" s="3"/>
    </row>
    <row r="84" spans="1:3" ht="12.75">
      <c r="A84" s="3">
        <v>14625</v>
      </c>
      <c r="B84" s="3">
        <v>27210</v>
      </c>
      <c r="C84" s="3"/>
    </row>
    <row r="85" spans="1:3" ht="12.75">
      <c r="A85" s="3">
        <v>14625</v>
      </c>
      <c r="B85" s="3">
        <v>27210</v>
      </c>
      <c r="C85" s="3"/>
    </row>
    <row r="86" spans="1:3" ht="12.75">
      <c r="A86" s="3">
        <v>14625</v>
      </c>
      <c r="B86" s="3">
        <v>27210</v>
      </c>
      <c r="C86" s="3"/>
    </row>
    <row r="87" spans="1:3" ht="12.75">
      <c r="A87" s="3">
        <v>14700</v>
      </c>
      <c r="B87" s="3">
        <v>27350</v>
      </c>
      <c r="C87" s="3"/>
    </row>
    <row r="88" spans="1:3" ht="12.75">
      <c r="A88" s="3">
        <v>14750</v>
      </c>
      <c r="B88" s="3">
        <v>27440</v>
      </c>
      <c r="C88" s="3"/>
    </row>
    <row r="89" spans="1:3" ht="12.75">
      <c r="A89" s="3">
        <v>14875</v>
      </c>
      <c r="B89" s="3">
        <v>27670</v>
      </c>
      <c r="C89" s="3"/>
    </row>
    <row r="90" spans="1:3" ht="12.75">
      <c r="A90" s="3">
        <v>14875</v>
      </c>
      <c r="B90" s="3">
        <v>27670</v>
      </c>
      <c r="C90" s="3"/>
    </row>
    <row r="91" spans="1:3" ht="12.75">
      <c r="A91" s="3">
        <v>14940</v>
      </c>
      <c r="B91" s="3">
        <f>INT(A91*1.86/10+0.99)*10</f>
        <v>27790</v>
      </c>
      <c r="C91" s="3"/>
    </row>
    <row r="92" spans="1:3" ht="12.75">
      <c r="A92" s="3">
        <v>15000</v>
      </c>
      <c r="B92" s="3">
        <v>27900</v>
      </c>
      <c r="C92" s="3"/>
    </row>
    <row r="93" spans="1:3" ht="12.75">
      <c r="A93" s="3">
        <v>15000</v>
      </c>
      <c r="B93" s="3">
        <v>27900</v>
      </c>
      <c r="C93" s="3"/>
    </row>
    <row r="94" spans="1:3" ht="12.75">
      <c r="A94" s="3">
        <v>15000</v>
      </c>
      <c r="B94" s="3">
        <v>27900</v>
      </c>
      <c r="C94" s="3"/>
    </row>
    <row r="95" spans="1:3" ht="12.75">
      <c r="A95" s="3">
        <v>15100</v>
      </c>
      <c r="B95" s="3">
        <v>28090</v>
      </c>
      <c r="C95" s="3"/>
    </row>
    <row r="96" spans="1:3" ht="12.75">
      <c r="A96" s="3">
        <v>15100</v>
      </c>
      <c r="B96" s="3">
        <v>28090</v>
      </c>
      <c r="C96" s="3"/>
    </row>
    <row r="97" spans="1:3" ht="12.75">
      <c r="A97" s="3">
        <v>15200</v>
      </c>
      <c r="B97" s="3">
        <v>40180</v>
      </c>
      <c r="C97" s="3"/>
    </row>
    <row r="98" spans="1:3" ht="12.75">
      <c r="A98" s="3">
        <v>15200</v>
      </c>
      <c r="B98" s="3">
        <v>28280</v>
      </c>
      <c r="C98" s="3"/>
    </row>
    <row r="99" spans="1:3" ht="12.75">
      <c r="A99" s="3">
        <v>15200</v>
      </c>
      <c r="B99" s="3">
        <v>28280</v>
      </c>
      <c r="C99" s="3"/>
    </row>
    <row r="100" spans="1:3" ht="12.75">
      <c r="A100" s="3">
        <v>15360</v>
      </c>
      <c r="B100" s="3">
        <f>INT(A100*1.86/10+0.99)*10</f>
        <v>28570</v>
      </c>
      <c r="C100" s="3"/>
    </row>
    <row r="101" spans="1:3" ht="12.75">
      <c r="A101" s="3">
        <v>15375</v>
      </c>
      <c r="B101" s="3">
        <v>28600</v>
      </c>
      <c r="C101" s="3"/>
    </row>
    <row r="102" spans="1:3" ht="12.75">
      <c r="A102" s="3">
        <v>15375</v>
      </c>
      <c r="B102" s="3">
        <v>28600</v>
      </c>
      <c r="C102" s="3"/>
    </row>
    <row r="103" spans="1:3" ht="12.75">
      <c r="A103" s="3">
        <v>15375</v>
      </c>
      <c r="B103" s="3">
        <v>28600</v>
      </c>
      <c r="C103" s="3"/>
    </row>
    <row r="104" spans="1:3" ht="12.75">
      <c r="A104" s="3">
        <v>15500</v>
      </c>
      <c r="B104" s="3">
        <v>28830</v>
      </c>
      <c r="C104" s="3"/>
    </row>
    <row r="105" spans="1:3" ht="12.75">
      <c r="A105" s="3">
        <v>15500</v>
      </c>
      <c r="B105" s="3">
        <v>28830</v>
      </c>
      <c r="C105" s="3"/>
    </row>
    <row r="106" spans="1:3" ht="12.75">
      <c r="A106" s="3">
        <v>15525</v>
      </c>
      <c r="B106" s="3">
        <v>28880</v>
      </c>
      <c r="C106" s="3"/>
    </row>
    <row r="107" spans="1:3" ht="12.75">
      <c r="A107" s="3">
        <v>15650</v>
      </c>
      <c r="B107" s="3">
        <v>40180</v>
      </c>
      <c r="C107" s="3"/>
    </row>
    <row r="108" spans="1:3" ht="12.75">
      <c r="A108" s="3">
        <v>15750</v>
      </c>
      <c r="B108" s="3">
        <v>29300</v>
      </c>
      <c r="C108" s="3"/>
    </row>
    <row r="109" spans="1:3" ht="12.75">
      <c r="A109" s="3">
        <v>15750</v>
      </c>
      <c r="B109" s="3">
        <v>29300</v>
      </c>
      <c r="C109" s="3"/>
    </row>
    <row r="110" spans="1:3" ht="12.75">
      <c r="A110" s="3">
        <v>15750</v>
      </c>
      <c r="B110" s="3">
        <v>29300</v>
      </c>
      <c r="C110" s="3"/>
    </row>
    <row r="111" spans="1:3" ht="12.75">
      <c r="A111" s="3">
        <v>15780</v>
      </c>
      <c r="B111" s="3">
        <f>INT(A111*1.86/10+0.99)*10</f>
        <v>29360</v>
      </c>
      <c r="C111" s="3"/>
    </row>
    <row r="112" spans="1:3" ht="12.75">
      <c r="A112" s="3">
        <v>15850</v>
      </c>
      <c r="B112" s="3">
        <v>29490</v>
      </c>
      <c r="C112" s="3"/>
    </row>
    <row r="113" spans="1:3" ht="12.75">
      <c r="A113" s="3">
        <v>15900</v>
      </c>
      <c r="B113" s="3">
        <v>29580</v>
      </c>
      <c r="C113" s="3"/>
    </row>
    <row r="114" spans="1:3" ht="12.75">
      <c r="A114" s="3">
        <v>15900</v>
      </c>
      <c r="B114" s="3">
        <v>29580</v>
      </c>
      <c r="C114" s="3"/>
    </row>
    <row r="115" spans="1:3" ht="12.75">
      <c r="A115" s="3">
        <v>16100</v>
      </c>
      <c r="B115" s="3">
        <v>41190</v>
      </c>
      <c r="C115" s="3"/>
    </row>
    <row r="116" spans="1:3" ht="12.75">
      <c r="A116" s="3">
        <v>16125</v>
      </c>
      <c r="B116" s="3">
        <v>30000</v>
      </c>
      <c r="C116" s="3"/>
    </row>
    <row r="117" spans="1:3" ht="12.75">
      <c r="A117" s="3">
        <v>16125</v>
      </c>
      <c r="B117" s="3">
        <v>30000</v>
      </c>
      <c r="C117" s="3"/>
    </row>
    <row r="118" spans="1:3" ht="12.75">
      <c r="A118" s="3">
        <v>16125</v>
      </c>
      <c r="B118" s="3">
        <v>30000</v>
      </c>
      <c r="C118" s="3"/>
    </row>
    <row r="119" spans="1:3" ht="12.75">
      <c r="A119" s="3">
        <v>16200</v>
      </c>
      <c r="B119" s="3">
        <f>INT(A119*1.86/10+0.99)*10</f>
        <v>30140</v>
      </c>
      <c r="C119" s="3"/>
    </row>
    <row r="120" spans="1:3" ht="12.75">
      <c r="A120" s="3">
        <v>16300</v>
      </c>
      <c r="B120" s="3">
        <v>30320</v>
      </c>
      <c r="C120" s="3"/>
    </row>
    <row r="121" spans="1:3" ht="12.75">
      <c r="A121" s="3">
        <v>16300</v>
      </c>
      <c r="B121" s="3">
        <v>30320</v>
      </c>
      <c r="C121" s="3"/>
    </row>
    <row r="122" spans="1:3" ht="12.75">
      <c r="A122" s="3">
        <v>16400</v>
      </c>
      <c r="B122" s="3">
        <v>30510</v>
      </c>
      <c r="C122" s="3"/>
    </row>
    <row r="123" spans="1:3" ht="12.75">
      <c r="A123" s="3">
        <v>16400</v>
      </c>
      <c r="B123" s="3">
        <v>30510</v>
      </c>
      <c r="C123" s="3"/>
    </row>
    <row r="124" spans="1:3" ht="12.75">
      <c r="A124" s="3">
        <v>16500</v>
      </c>
      <c r="B124" s="3">
        <v>30690</v>
      </c>
      <c r="C124" s="3"/>
    </row>
    <row r="125" spans="1:3" ht="12.75">
      <c r="A125" s="3">
        <v>16500</v>
      </c>
      <c r="B125" s="3">
        <v>30690</v>
      </c>
      <c r="C125" s="3"/>
    </row>
    <row r="126" spans="1:3" ht="12.75">
      <c r="A126" s="3">
        <v>16500</v>
      </c>
      <c r="B126" s="3">
        <v>30690</v>
      </c>
      <c r="C126" s="3"/>
    </row>
    <row r="127" spans="1:3" ht="12.75">
      <c r="A127" s="3">
        <v>16550</v>
      </c>
      <c r="B127" s="3">
        <v>41190</v>
      </c>
      <c r="C127" s="3"/>
    </row>
    <row r="128" spans="1:3" ht="12.75">
      <c r="A128" s="3">
        <v>16620</v>
      </c>
      <c r="B128" s="3">
        <f>INT(A128*1.86/10+0.99)*10</f>
        <v>30920</v>
      </c>
      <c r="C128" s="3"/>
    </row>
    <row r="129" spans="1:3" ht="12.75">
      <c r="A129" s="3">
        <v>16700</v>
      </c>
      <c r="B129" s="3">
        <v>31070</v>
      </c>
      <c r="C129" s="3"/>
    </row>
    <row r="130" spans="1:3" ht="12.75">
      <c r="A130" s="3">
        <v>16700</v>
      </c>
      <c r="B130" s="3">
        <v>31070</v>
      </c>
      <c r="C130" s="3"/>
    </row>
    <row r="131" spans="1:3" ht="12.75">
      <c r="A131" s="3">
        <v>16850</v>
      </c>
      <c r="B131" s="3">
        <v>31350</v>
      </c>
      <c r="C131" s="3"/>
    </row>
    <row r="132" spans="1:3" ht="12.75">
      <c r="A132" s="3">
        <v>16850</v>
      </c>
      <c r="B132" s="3">
        <v>31350</v>
      </c>
      <c r="C132" s="3"/>
    </row>
    <row r="133" spans="1:3" ht="12.75">
      <c r="A133" s="3">
        <v>16875</v>
      </c>
      <c r="B133" s="3">
        <v>31390</v>
      </c>
      <c r="C133" s="3"/>
    </row>
    <row r="134" spans="1:3" ht="12.75">
      <c r="A134" s="3">
        <v>17000</v>
      </c>
      <c r="B134" s="3">
        <v>42220</v>
      </c>
      <c r="C134" s="3"/>
    </row>
    <row r="135" spans="1:3" ht="12.75">
      <c r="A135" s="3">
        <v>17040</v>
      </c>
      <c r="B135" s="3">
        <f>INT(A135*1.86/10+0.99)*10</f>
        <v>31700</v>
      </c>
      <c r="C135" s="3"/>
    </row>
    <row r="136" spans="1:3" ht="12.75">
      <c r="A136" s="3">
        <v>17100</v>
      </c>
      <c r="B136" s="3">
        <v>31810</v>
      </c>
      <c r="C136" s="3"/>
    </row>
    <row r="137" spans="1:3" ht="12.75">
      <c r="A137" s="3">
        <v>17100</v>
      </c>
      <c r="B137" s="3">
        <v>31810</v>
      </c>
      <c r="C137" s="3"/>
    </row>
    <row r="138" spans="1:3" ht="12.75">
      <c r="A138" s="3">
        <v>17250</v>
      </c>
      <c r="B138" s="3">
        <v>32090</v>
      </c>
      <c r="C138" s="3"/>
    </row>
    <row r="139" spans="1:3" ht="12.75">
      <c r="A139" s="3">
        <v>17300</v>
      </c>
      <c r="B139" s="3">
        <v>32180</v>
      </c>
      <c r="C139" s="3"/>
    </row>
    <row r="140" spans="1:3" ht="12.75">
      <c r="A140" s="3">
        <v>17300</v>
      </c>
      <c r="B140" s="3">
        <v>32180</v>
      </c>
      <c r="C140" s="3"/>
    </row>
    <row r="141" spans="1:3" ht="12.75">
      <c r="A141" s="3">
        <v>17450</v>
      </c>
      <c r="B141" s="3">
        <v>42220</v>
      </c>
      <c r="C141" s="3"/>
    </row>
    <row r="142" spans="1:3" ht="12.75">
      <c r="A142" s="3">
        <v>17460</v>
      </c>
      <c r="B142" s="3">
        <f>INT(A142*1.86/10+0.99)*10</f>
        <v>32480</v>
      </c>
      <c r="C142" s="3"/>
    </row>
    <row r="143" spans="1:3" ht="12.75">
      <c r="A143" s="3">
        <v>17500</v>
      </c>
      <c r="B143" s="3">
        <v>32550</v>
      </c>
      <c r="C143" s="3"/>
    </row>
    <row r="144" spans="1:3" ht="12.75">
      <c r="A144" s="3">
        <v>17500</v>
      </c>
      <c r="B144" s="3">
        <v>32550</v>
      </c>
      <c r="C144" s="3"/>
    </row>
    <row r="145" spans="1:3" ht="12.75">
      <c r="A145" s="3">
        <v>17625</v>
      </c>
      <c r="B145" s="3">
        <v>32790</v>
      </c>
      <c r="C145" s="3"/>
    </row>
    <row r="146" spans="1:3" ht="12.75">
      <c r="A146" s="3">
        <v>17750</v>
      </c>
      <c r="B146" s="3">
        <v>33020</v>
      </c>
      <c r="C146" s="3"/>
    </row>
    <row r="147" spans="1:3" ht="12.75">
      <c r="A147" s="3">
        <v>17750</v>
      </c>
      <c r="B147" s="3">
        <v>33020</v>
      </c>
      <c r="C147" s="3"/>
    </row>
    <row r="148" spans="1:3" ht="12.75">
      <c r="A148" s="3">
        <v>17880</v>
      </c>
      <c r="B148" s="3">
        <f>INT(A148*1.86/10+0.99)*10</f>
        <v>33260</v>
      </c>
      <c r="C148" s="3"/>
    </row>
    <row r="149" spans="1:3" ht="12.75">
      <c r="A149" s="3">
        <v>17900</v>
      </c>
      <c r="B149" s="3">
        <v>43280</v>
      </c>
      <c r="C149" s="3"/>
    </row>
    <row r="150" spans="1:3" ht="12.75">
      <c r="A150" s="3">
        <v>17900</v>
      </c>
      <c r="B150" s="3">
        <v>33300</v>
      </c>
      <c r="C150" s="3"/>
    </row>
    <row r="151" spans="1:3" ht="12.75">
      <c r="A151" s="3">
        <v>17900</v>
      </c>
      <c r="B151" s="3">
        <v>33300</v>
      </c>
      <c r="C151" s="3"/>
    </row>
    <row r="152" spans="1:3" ht="12.75">
      <c r="A152" s="3">
        <v>18000</v>
      </c>
      <c r="B152" s="3">
        <v>33480</v>
      </c>
      <c r="C152" s="3"/>
    </row>
    <row r="153" spans="1:3" ht="12.75">
      <c r="A153" s="3">
        <v>18200</v>
      </c>
      <c r="B153" s="3">
        <v>33860</v>
      </c>
      <c r="C153" s="3"/>
    </row>
    <row r="154" spans="1:3" ht="12.75">
      <c r="A154" s="3">
        <v>18200</v>
      </c>
      <c r="B154" s="3">
        <v>33860</v>
      </c>
      <c r="C154" s="3"/>
    </row>
    <row r="155" spans="1:3" ht="12.75">
      <c r="A155" s="3">
        <v>18300</v>
      </c>
      <c r="B155" s="3">
        <v>34040</v>
      </c>
      <c r="C155" s="3"/>
    </row>
    <row r="156" spans="1:3" ht="12.75">
      <c r="A156" s="3">
        <v>18300</v>
      </c>
      <c r="B156" s="3">
        <v>34040</v>
      </c>
      <c r="C156" s="3"/>
    </row>
    <row r="157" spans="1:3" ht="12.75">
      <c r="A157" s="3">
        <v>18350</v>
      </c>
      <c r="B157" s="3">
        <v>43280</v>
      </c>
      <c r="C157" s="3"/>
    </row>
    <row r="158" spans="1:3" ht="12.75">
      <c r="A158" s="3">
        <v>18400</v>
      </c>
      <c r="B158" s="3">
        <v>43280</v>
      </c>
      <c r="C158" s="3"/>
    </row>
    <row r="159" spans="1:3" ht="12.75">
      <c r="A159" s="3">
        <v>18650</v>
      </c>
      <c r="B159" s="3">
        <v>34690</v>
      </c>
      <c r="C159" s="3"/>
    </row>
    <row r="160" spans="1:3" ht="12.75">
      <c r="A160" s="3">
        <v>18650</v>
      </c>
      <c r="B160" s="3">
        <v>34690</v>
      </c>
      <c r="C160" s="3"/>
    </row>
    <row r="161" spans="1:3" ht="12.75">
      <c r="A161" s="3">
        <v>18720</v>
      </c>
      <c r="B161" s="3">
        <f>INT(A161*1.86/10+0.99)*10</f>
        <v>34820</v>
      </c>
      <c r="C161" s="3"/>
    </row>
    <row r="162" spans="1:3" ht="12.75">
      <c r="A162" s="3">
        <v>18800</v>
      </c>
      <c r="B162" s="3">
        <v>44370</v>
      </c>
      <c r="C162" s="3"/>
    </row>
    <row r="163" spans="1:3" ht="12.75">
      <c r="A163" s="3">
        <v>18900</v>
      </c>
      <c r="B163" s="3">
        <v>44370</v>
      </c>
      <c r="C163" s="3"/>
    </row>
    <row r="164" spans="1:3" ht="12.75">
      <c r="A164" s="3">
        <v>19100</v>
      </c>
      <c r="B164" s="3">
        <v>35530</v>
      </c>
      <c r="C164" s="3"/>
    </row>
    <row r="165" spans="1:3" ht="12.75">
      <c r="A165" s="3">
        <v>19100</v>
      </c>
      <c r="B165" s="3">
        <v>35530</v>
      </c>
      <c r="C165" s="3"/>
    </row>
    <row r="166" spans="1:3" ht="12.75">
      <c r="A166" s="3">
        <v>19140</v>
      </c>
      <c r="B166" s="3">
        <f>INT(A166*1.86/10+0.99)*10</f>
        <v>35610</v>
      </c>
      <c r="C166" s="3"/>
    </row>
    <row r="167" spans="1:3" ht="12.75">
      <c r="A167" s="3">
        <v>19250</v>
      </c>
      <c r="B167" s="3">
        <v>44370</v>
      </c>
      <c r="C167" s="3"/>
    </row>
    <row r="168" spans="1:3" ht="12.75">
      <c r="A168" s="3">
        <v>19400</v>
      </c>
      <c r="B168" s="3">
        <v>44370</v>
      </c>
      <c r="C168" s="3"/>
    </row>
    <row r="169" spans="1:3" ht="12.75">
      <c r="A169" s="3">
        <v>19550</v>
      </c>
      <c r="B169" s="3">
        <v>36370</v>
      </c>
      <c r="C169" s="3"/>
    </row>
    <row r="170" spans="1:3" ht="12.75">
      <c r="A170" s="3">
        <v>19550</v>
      </c>
      <c r="B170" s="3">
        <v>36370</v>
      </c>
      <c r="C170" s="3"/>
    </row>
    <row r="171" spans="1:3" ht="12.75">
      <c r="A171" s="3">
        <v>19560</v>
      </c>
      <c r="B171" s="3">
        <f>INT(A171*1.86/10+0.99)*10</f>
        <v>36390</v>
      </c>
      <c r="C171" s="3"/>
    </row>
    <row r="172" spans="1:3" ht="12.75">
      <c r="A172" s="3">
        <v>19700</v>
      </c>
      <c r="B172" s="3">
        <v>45480</v>
      </c>
      <c r="C172" s="3"/>
    </row>
    <row r="173" spans="1:3" ht="12.75">
      <c r="A173" s="3">
        <v>19900</v>
      </c>
      <c r="B173" s="3">
        <v>45480</v>
      </c>
      <c r="C173" s="3"/>
    </row>
    <row r="174" spans="1:3" ht="12.75">
      <c r="A174" s="3">
        <v>20000</v>
      </c>
      <c r="B174" s="3">
        <v>37200</v>
      </c>
      <c r="C174" s="3"/>
    </row>
    <row r="175" spans="1:3" ht="12.75">
      <c r="A175" s="3">
        <v>20000</v>
      </c>
      <c r="B175" s="3">
        <v>37200</v>
      </c>
      <c r="C175" s="3"/>
    </row>
    <row r="176" spans="1:3" ht="12.75">
      <c r="A176" s="3">
        <v>20150</v>
      </c>
      <c r="B176" s="3">
        <v>45280</v>
      </c>
      <c r="C176" s="3"/>
    </row>
    <row r="177" spans="1:3" ht="12.75">
      <c r="A177" s="3">
        <v>20400</v>
      </c>
      <c r="B177" s="3">
        <v>45480</v>
      </c>
      <c r="C177" s="3"/>
    </row>
    <row r="178" spans="1:3" ht="12.75">
      <c r="A178" s="6">
        <v>20450</v>
      </c>
      <c r="B178" s="3">
        <v>38040</v>
      </c>
      <c r="C178" s="3"/>
    </row>
    <row r="179" spans="1:3" ht="12.75">
      <c r="A179" s="3">
        <v>20600</v>
      </c>
      <c r="B179" s="3">
        <v>46620</v>
      </c>
      <c r="C179" s="3"/>
    </row>
    <row r="180" spans="1:3" ht="12.75">
      <c r="A180" s="5">
        <v>20900</v>
      </c>
      <c r="B180" s="3">
        <v>46620</v>
      </c>
      <c r="C180" s="3"/>
    </row>
    <row r="181" spans="1:3" ht="12.75">
      <c r="A181" s="4">
        <v>20900</v>
      </c>
      <c r="B181" s="3">
        <v>38880</v>
      </c>
      <c r="C181" s="3"/>
    </row>
    <row r="182" spans="1:3" ht="12.75">
      <c r="A182" s="3">
        <v>21050</v>
      </c>
      <c r="B182" s="3">
        <v>46620</v>
      </c>
      <c r="C182" s="3"/>
    </row>
    <row r="183" spans="1:3" ht="12.75">
      <c r="A183" s="3">
        <v>21400</v>
      </c>
      <c r="B183" s="3">
        <v>46620</v>
      </c>
      <c r="C183" s="3"/>
    </row>
    <row r="184" spans="1:3" ht="12.75">
      <c r="A184" s="3">
        <v>21500</v>
      </c>
      <c r="B184" s="3">
        <v>47790</v>
      </c>
      <c r="C184" s="3"/>
    </row>
    <row r="185" spans="1:3" ht="12.75">
      <c r="A185" s="3">
        <v>21900</v>
      </c>
      <c r="B185" s="3">
        <v>47790</v>
      </c>
      <c r="C185" s="3"/>
    </row>
    <row r="186" spans="1:3" ht="12.75">
      <c r="A186" s="3">
        <v>21950</v>
      </c>
      <c r="B186" s="3">
        <v>47790</v>
      </c>
      <c r="C186" s="3"/>
    </row>
    <row r="187" spans="1:3" ht="12.75">
      <c r="A187" s="3">
        <v>22400</v>
      </c>
      <c r="B187" s="3">
        <v>48990</v>
      </c>
      <c r="C187" s="3"/>
    </row>
    <row r="188" spans="1:3" ht="12.75">
      <c r="A188" s="3">
        <v>22400</v>
      </c>
      <c r="B188" s="3">
        <v>48990</v>
      </c>
      <c r="C188" s="3"/>
    </row>
    <row r="189" spans="1:3" ht="12.75">
      <c r="A189" s="3">
        <v>22400</v>
      </c>
      <c r="B189" s="3">
        <v>48990</v>
      </c>
      <c r="C189" s="3"/>
    </row>
    <row r="190" spans="1:3" ht="12.75">
      <c r="A190" s="3">
        <v>22400</v>
      </c>
      <c r="B190" s="3">
        <v>48990</v>
      </c>
      <c r="C190" s="3"/>
    </row>
    <row r="191" spans="1:3" ht="12.75">
      <c r="A191" s="3">
        <v>22925</v>
      </c>
      <c r="B191" s="3">
        <v>50220</v>
      </c>
      <c r="C191" s="3"/>
    </row>
    <row r="192" spans="1:3" ht="12.75">
      <c r="A192" s="3">
        <v>23000</v>
      </c>
      <c r="B192" s="3">
        <v>50220</v>
      </c>
      <c r="C192" s="3"/>
    </row>
    <row r="193" spans="1:3" ht="12.75">
      <c r="A193" s="3">
        <v>23450</v>
      </c>
      <c r="B193" s="3">
        <v>51480</v>
      </c>
      <c r="C193" s="3"/>
    </row>
    <row r="194" spans="1:3" ht="12.75">
      <c r="A194" s="3">
        <v>23600</v>
      </c>
      <c r="B194" s="3">
        <v>51480</v>
      </c>
      <c r="C194" s="3"/>
    </row>
    <row r="195" spans="1:3" ht="12.75">
      <c r="A195" s="3">
        <v>23975</v>
      </c>
      <c r="B195" s="3">
        <v>52770</v>
      </c>
      <c r="C195" s="3"/>
    </row>
    <row r="196" spans="1:3" ht="12.75">
      <c r="A196" s="3">
        <v>24050</v>
      </c>
      <c r="B196" s="3">
        <v>52770</v>
      </c>
      <c r="C196" s="3"/>
    </row>
    <row r="197" spans="1:3" ht="12.75">
      <c r="A197" s="3">
        <v>24200</v>
      </c>
      <c r="B197" s="3">
        <v>54090</v>
      </c>
      <c r="C197" s="3"/>
    </row>
    <row r="198" spans="1:3" ht="12.75">
      <c r="A198" s="3">
        <v>24500</v>
      </c>
      <c r="B198" s="3">
        <v>54090</v>
      </c>
      <c r="C198" s="3"/>
    </row>
    <row r="199" spans="1:3" ht="12.75">
      <c r="A199" s="3">
        <v>24700</v>
      </c>
      <c r="B199" s="3">
        <v>55450</v>
      </c>
      <c r="C199" s="3"/>
    </row>
    <row r="200" spans="1:3" ht="12.75">
      <c r="A200" s="3">
        <v>24800</v>
      </c>
      <c r="B200" s="3">
        <v>55450</v>
      </c>
      <c r="C200" s="3"/>
    </row>
    <row r="201" spans="1:3" ht="12.75">
      <c r="A201" s="3">
        <v>25350</v>
      </c>
      <c r="B201" s="3">
        <v>56840</v>
      </c>
      <c r="C201" s="3"/>
    </row>
    <row r="202" spans="1:3" ht="12.75">
      <c r="A202" s="3">
        <v>25400</v>
      </c>
      <c r="B202" s="3">
        <v>56840</v>
      </c>
      <c r="C202" s="3"/>
    </row>
    <row r="203" spans="1:3" ht="12.75">
      <c r="A203" s="3">
        <v>26000</v>
      </c>
      <c r="B203" s="3">
        <v>58270</v>
      </c>
      <c r="C203" s="3"/>
    </row>
    <row r="204" spans="1:3" ht="12.75">
      <c r="A204" s="5">
        <v>26000</v>
      </c>
      <c r="B204" s="3">
        <v>58270</v>
      </c>
      <c r="C204" s="3"/>
    </row>
    <row r="205" spans="1:3" ht="12.75">
      <c r="A205" s="5">
        <v>26000</v>
      </c>
      <c r="B205" s="3">
        <v>80000</v>
      </c>
      <c r="C205" s="3"/>
    </row>
    <row r="206" spans="1:3" ht="12.75">
      <c r="A206" s="3">
        <v>30000</v>
      </c>
      <c r="B206" s="3">
        <v>90000</v>
      </c>
      <c r="C206" s="3"/>
    </row>
  </sheetData>
  <sheetProtection password="83AF" sheet="1" objects="1" scenarios="1"/>
  <printOptions/>
  <pageMargins left="0.75" right="0.75" top="1.6666666666666667" bottom="1.6666666666666667" header="0" footer="0"/>
  <pageSetup cellComments="asDisplayed" horizontalDpi="600" verticalDpi="600" orientation="portrait" paperSize="9"/>
  <headerFooter alignWithMargins="0">
    <oddHeader>&amp;L&amp;C&amp;R</oddHeader>
    <oddFooter>&amp;L&amp;C&amp;R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DR.RAKESH PANDEY</cp:lastModifiedBy>
  <cp:lastPrinted>2009-01-14T17:52:59Z</cp:lastPrinted>
  <dcterms:created xsi:type="dcterms:W3CDTF">2008-08-21T14:27:31Z</dcterms:created>
  <dcterms:modified xsi:type="dcterms:W3CDTF">2009-01-29T16:47:43Z</dcterms:modified>
  <cp:category/>
  <cp:version/>
  <cp:contentType/>
  <cp:contentStatus/>
</cp:coreProperties>
</file>